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showInkAnnotation="0"/>
  <mc:AlternateContent xmlns:mc="http://schemas.openxmlformats.org/markup-compatibility/2006">
    <mc:Choice Requires="x15">
      <x15ac:absPath xmlns:x15ac="http://schemas.microsoft.com/office/spreadsheetml/2010/11/ac" url="E:\Arhiv_doci\Решения 2018 года\На Совет 19.12.2018\Изменения в бюджет\"/>
    </mc:Choice>
  </mc:AlternateContent>
  <xr:revisionPtr revIDLastSave="0" documentId="13_ncr:1_{7E351350-3EEA-4BBE-9294-5309AA3562F2}" xr6:coauthVersionLast="40" xr6:coauthVersionMax="40" xr10:uidLastSave="{00000000-0000-0000-0000-000000000000}"/>
  <bookViews>
    <workbookView xWindow="120" yWindow="120" windowWidth="9720" windowHeight="7320" xr2:uid="{00000000-000D-0000-FFFF-FFFF00000000}"/>
  </bookViews>
  <sheets>
    <sheet name="2017" sheetId="3" r:id="rId1"/>
  </sheets>
  <definedNames>
    <definedName name="_xlnm._FilterDatabase" localSheetId="0" hidden="1">'2017'!$A$19:$D$377</definedName>
  </definedNames>
  <calcPr calcId="181029" refMode="R1C1"/>
</workbook>
</file>

<file path=xl/calcChain.xml><?xml version="1.0" encoding="utf-8"?>
<calcChain xmlns="http://schemas.openxmlformats.org/spreadsheetml/2006/main">
  <c r="K160" i="3" l="1"/>
  <c r="K157" i="3"/>
  <c r="K117" i="3"/>
  <c r="K185" i="3"/>
  <c r="K96" i="3"/>
  <c r="K90" i="3"/>
  <c r="K222" i="3"/>
  <c r="K219" i="3"/>
  <c r="K203" i="3"/>
  <c r="K183" i="3"/>
  <c r="K230" i="3"/>
  <c r="I231" i="3"/>
  <c r="J231" i="3" s="1"/>
  <c r="K81" i="3"/>
  <c r="K106" i="3"/>
  <c r="F107" i="3"/>
  <c r="J107" i="3" s="1"/>
  <c r="K195" i="3" l="1"/>
  <c r="K330" i="3"/>
  <c r="F333" i="3"/>
  <c r="K281" i="3"/>
  <c r="K125" i="3"/>
  <c r="F126" i="3"/>
  <c r="J126" i="3" s="1"/>
  <c r="J125" i="3" s="1"/>
  <c r="K76" i="3"/>
  <c r="K65" i="3"/>
  <c r="I197" i="3"/>
  <c r="F197" i="3"/>
  <c r="I66" i="3"/>
  <c r="F66" i="3"/>
  <c r="K56" i="3"/>
  <c r="I57" i="3"/>
  <c r="F57" i="3"/>
  <c r="K221" i="3"/>
  <c r="J222" i="3"/>
  <c r="J221" i="3" s="1"/>
  <c r="K218" i="3"/>
  <c r="F219" i="3"/>
  <c r="J219" i="3" s="1"/>
  <c r="J218" i="3" s="1"/>
  <c r="K182" i="3"/>
  <c r="F206" i="3"/>
  <c r="J206" i="3" s="1"/>
  <c r="J205" i="3" s="1"/>
  <c r="K205" i="3"/>
  <c r="I205" i="3"/>
  <c r="H205" i="3"/>
  <c r="G205" i="3"/>
  <c r="E205" i="3"/>
  <c r="K179" i="3"/>
  <c r="J180" i="3"/>
  <c r="J179" i="3" s="1"/>
  <c r="K311" i="3"/>
  <c r="K295" i="3"/>
  <c r="K293" i="3"/>
  <c r="K291" i="3"/>
  <c r="K289" i="3"/>
  <c r="K265" i="3"/>
  <c r="K240" i="3"/>
  <c r="K238" i="3"/>
  <c r="K235" i="3"/>
  <c r="K193" i="3"/>
  <c r="K192" i="3" s="1"/>
  <c r="J229" i="3"/>
  <c r="J228" i="3" s="1"/>
  <c r="I228" i="3"/>
  <c r="H228" i="3"/>
  <c r="G228" i="3"/>
  <c r="F227" i="3"/>
  <c r="J227" i="3" s="1"/>
  <c r="J226" i="3" s="1"/>
  <c r="I226" i="3"/>
  <c r="H226" i="3"/>
  <c r="G226" i="3"/>
  <c r="E226" i="3"/>
  <c r="E225" i="3" s="1"/>
  <c r="E224" i="3" s="1"/>
  <c r="D226" i="3"/>
  <c r="D225" i="3" s="1"/>
  <c r="D224" i="3" s="1"/>
  <c r="J197" i="3" l="1"/>
  <c r="F205" i="3"/>
  <c r="K228" i="3"/>
  <c r="K237" i="3"/>
  <c r="K226" i="3"/>
  <c r="G225" i="3"/>
  <c r="G224" i="3" s="1"/>
  <c r="F226" i="3"/>
  <c r="F225" i="3" s="1"/>
  <c r="F224" i="3" s="1"/>
  <c r="H225" i="3"/>
  <c r="H224" i="3" s="1"/>
  <c r="I225" i="3"/>
  <c r="I224" i="3" s="1"/>
  <c r="J225" i="3"/>
  <c r="J240" i="3"/>
  <c r="J238" i="3"/>
  <c r="K225" i="3" l="1"/>
  <c r="J237" i="3"/>
  <c r="J235" i="3"/>
  <c r="J295" i="3"/>
  <c r="J293" i="3"/>
  <c r="J291" i="3"/>
  <c r="J289" i="3"/>
  <c r="J193" i="3"/>
  <c r="F191" i="3"/>
  <c r="J191" i="3" s="1"/>
  <c r="I233" i="3"/>
  <c r="I198" i="3"/>
  <c r="I199" i="3"/>
  <c r="J199" i="3" s="1"/>
  <c r="K199" i="3" s="1"/>
  <c r="I67" i="3"/>
  <c r="I65" i="3" s="1"/>
  <c r="I58" i="3"/>
  <c r="I148" i="3"/>
  <c r="I146" i="3" s="1"/>
  <c r="I145" i="3" s="1"/>
  <c r="I185" i="3"/>
  <c r="I186" i="3"/>
  <c r="J186" i="3" s="1"/>
  <c r="I232" i="3"/>
  <c r="J232" i="3" s="1"/>
  <c r="I345" i="3"/>
  <c r="I344" i="3" s="1"/>
  <c r="I343" i="3" s="1"/>
  <c r="I44" i="3"/>
  <c r="J44" i="3" s="1"/>
  <c r="I376" i="3"/>
  <c r="I375" i="3" s="1"/>
  <c r="I234" i="3"/>
  <c r="J234" i="3" s="1"/>
  <c r="I31" i="3"/>
  <c r="I30" i="3"/>
  <c r="G185" i="3"/>
  <c r="G184" i="3" s="1"/>
  <c r="G76" i="3"/>
  <c r="G75" i="3" s="1"/>
  <c r="G74" i="3" s="1"/>
  <c r="G375" i="3"/>
  <c r="I40" i="3"/>
  <c r="I38" i="3"/>
  <c r="I34" i="3"/>
  <c r="I24" i="3"/>
  <c r="I23" i="3" s="1"/>
  <c r="G24" i="3"/>
  <c r="G23" i="3" s="1"/>
  <c r="H24" i="3"/>
  <c r="H23" i="3" s="1"/>
  <c r="G247" i="3"/>
  <c r="H247" i="3"/>
  <c r="I247" i="3"/>
  <c r="J286" i="3"/>
  <c r="J276" i="3"/>
  <c r="F275" i="3"/>
  <c r="I275" i="3"/>
  <c r="H275" i="3"/>
  <c r="G275" i="3"/>
  <c r="D275" i="3"/>
  <c r="J252" i="3"/>
  <c r="G251" i="3"/>
  <c r="H251" i="3"/>
  <c r="I251" i="3"/>
  <c r="F251" i="3"/>
  <c r="F250" i="3"/>
  <c r="J250" i="3" s="1"/>
  <c r="G159" i="3"/>
  <c r="G158" i="3" s="1"/>
  <c r="H159" i="3"/>
  <c r="H158" i="3" s="1"/>
  <c r="I159" i="3"/>
  <c r="I158" i="3" s="1"/>
  <c r="G121" i="3"/>
  <c r="H121" i="3"/>
  <c r="I121" i="3"/>
  <c r="J123" i="3"/>
  <c r="G117" i="3"/>
  <c r="H117" i="3"/>
  <c r="I117" i="3"/>
  <c r="J119" i="3"/>
  <c r="H76" i="3"/>
  <c r="H75" i="3" s="1"/>
  <c r="H74" i="3" s="1"/>
  <c r="I76" i="3"/>
  <c r="I75" i="3" s="1"/>
  <c r="I74" i="3" s="1"/>
  <c r="G52" i="3"/>
  <c r="G51" i="3" s="1"/>
  <c r="H52" i="3"/>
  <c r="H51" i="3" s="1"/>
  <c r="I52" i="3"/>
  <c r="I51" i="3" s="1"/>
  <c r="F53" i="3"/>
  <c r="F52" i="3" s="1"/>
  <c r="F51" i="3" s="1"/>
  <c r="J54" i="3"/>
  <c r="F157" i="3"/>
  <c r="F156" i="3" s="1"/>
  <c r="H163" i="3"/>
  <c r="G161" i="3"/>
  <c r="H161" i="3"/>
  <c r="I161" i="3"/>
  <c r="F161" i="3"/>
  <c r="F164" i="3"/>
  <c r="F163" i="3" s="1"/>
  <c r="I163" i="3"/>
  <c r="G163" i="3"/>
  <c r="E163" i="3"/>
  <c r="J162" i="3"/>
  <c r="F160" i="3"/>
  <c r="F159" i="3" s="1"/>
  <c r="F158" i="3" s="1"/>
  <c r="J77" i="3"/>
  <c r="J151" i="3"/>
  <c r="G150" i="3"/>
  <c r="G149" i="3" s="1"/>
  <c r="H150" i="3"/>
  <c r="H149" i="3" s="1"/>
  <c r="I150" i="3"/>
  <c r="I149" i="3" s="1"/>
  <c r="J147" i="3"/>
  <c r="G146" i="3"/>
  <c r="G145" i="3" s="1"/>
  <c r="H146" i="3"/>
  <c r="H145" i="3" s="1"/>
  <c r="J143" i="3"/>
  <c r="G142" i="3"/>
  <c r="G141" i="3" s="1"/>
  <c r="H142" i="3"/>
  <c r="H141" i="3" s="1"/>
  <c r="I142" i="3"/>
  <c r="I141" i="3" s="1"/>
  <c r="J124" i="3"/>
  <c r="F122" i="3"/>
  <c r="J122" i="3" s="1"/>
  <c r="J120" i="3"/>
  <c r="F118" i="3"/>
  <c r="F117" i="3" s="1"/>
  <c r="G34" i="3"/>
  <c r="H34" i="3"/>
  <c r="J37" i="3"/>
  <c r="F36" i="3"/>
  <c r="J36" i="3" s="1"/>
  <c r="G195" i="3"/>
  <c r="H195" i="3"/>
  <c r="F198" i="3"/>
  <c r="G202" i="3"/>
  <c r="H202" i="3"/>
  <c r="I202" i="3"/>
  <c r="G207" i="3"/>
  <c r="H207" i="3"/>
  <c r="I207" i="3"/>
  <c r="G211" i="3"/>
  <c r="H211" i="3"/>
  <c r="I211" i="3"/>
  <c r="G213" i="3"/>
  <c r="H213" i="3"/>
  <c r="I213" i="3"/>
  <c r="G215" i="3"/>
  <c r="H215" i="3"/>
  <c r="I215" i="3"/>
  <c r="G218" i="3"/>
  <c r="G217" i="3" s="1"/>
  <c r="H218" i="3"/>
  <c r="H217" i="3" s="1"/>
  <c r="I218" i="3"/>
  <c r="I217" i="3" s="1"/>
  <c r="G221" i="3"/>
  <c r="H221" i="3"/>
  <c r="I221" i="3"/>
  <c r="G230" i="3"/>
  <c r="H230" i="3"/>
  <c r="F230" i="3"/>
  <c r="E230" i="3"/>
  <c r="E222" i="3" s="1"/>
  <c r="D230" i="3"/>
  <c r="D222" i="3" s="1"/>
  <c r="F221" i="3"/>
  <c r="E223" i="3"/>
  <c r="D223" i="3"/>
  <c r="J204" i="3"/>
  <c r="F203" i="3"/>
  <c r="F202" i="3" s="1"/>
  <c r="J187" i="3"/>
  <c r="J188" i="3"/>
  <c r="J189" i="3"/>
  <c r="H184" i="3"/>
  <c r="F184" i="3"/>
  <c r="D185" i="3"/>
  <c r="D186" i="3"/>
  <c r="D187" i="3"/>
  <c r="D188" i="3"/>
  <c r="J216" i="3"/>
  <c r="J214" i="3"/>
  <c r="J212" i="3"/>
  <c r="I209" i="3"/>
  <c r="H209" i="3"/>
  <c r="J210" i="3"/>
  <c r="H166" i="3"/>
  <c r="I166" i="3"/>
  <c r="G166" i="3"/>
  <c r="J167" i="3"/>
  <c r="G172" i="3"/>
  <c r="H172" i="3"/>
  <c r="I172" i="3"/>
  <c r="J174" i="3"/>
  <c r="F173" i="3"/>
  <c r="F172" i="3" s="1"/>
  <c r="J363" i="3"/>
  <c r="K362" i="3" s="1"/>
  <c r="K361" i="3" s="1"/>
  <c r="G362" i="3"/>
  <c r="G361" i="3" s="1"/>
  <c r="H362" i="3"/>
  <c r="H361" i="3" s="1"/>
  <c r="I362" i="3"/>
  <c r="I361" i="3" s="1"/>
  <c r="H43" i="3"/>
  <c r="G43" i="3"/>
  <c r="F42" i="3"/>
  <c r="F41" i="3" s="1"/>
  <c r="F40" i="3" s="1"/>
  <c r="J27" i="3"/>
  <c r="F26" i="3"/>
  <c r="J26" i="3" s="1"/>
  <c r="G309" i="3"/>
  <c r="G308" i="3" s="1"/>
  <c r="H309" i="3"/>
  <c r="H308" i="3" s="1"/>
  <c r="I309" i="3"/>
  <c r="I308" i="3" s="1"/>
  <c r="F58" i="3"/>
  <c r="G40" i="3"/>
  <c r="H40" i="3"/>
  <c r="G38" i="3"/>
  <c r="H38" i="3"/>
  <c r="G29" i="3"/>
  <c r="H29" i="3"/>
  <c r="H21" i="3"/>
  <c r="H20" i="3" s="1"/>
  <c r="I21" i="3"/>
  <c r="I20" i="3" s="1"/>
  <c r="G21" i="3"/>
  <c r="G20" i="3" s="1"/>
  <c r="J265" i="3"/>
  <c r="I373" i="3"/>
  <c r="I368" i="3"/>
  <c r="I366" i="3"/>
  <c r="I359" i="3"/>
  <c r="I358" i="3" s="1"/>
  <c r="I356" i="3"/>
  <c r="I354" i="3"/>
  <c r="I353" i="3" s="1"/>
  <c r="I351" i="3"/>
  <c r="I350" i="3" s="1"/>
  <c r="I348" i="3"/>
  <c r="I347" i="3" s="1"/>
  <c r="I340" i="3"/>
  <c r="I339" i="3" s="1"/>
  <c r="I336" i="3"/>
  <c r="I335" i="3" s="1"/>
  <c r="I330" i="3"/>
  <c r="I329" i="3" s="1"/>
  <c r="I326" i="3"/>
  <c r="I324" i="3"/>
  <c r="I320" i="3"/>
  <c r="I319" i="3" s="1"/>
  <c r="I315" i="3"/>
  <c r="I314" i="3" s="1"/>
  <c r="I311" i="3"/>
  <c r="I305" i="3"/>
  <c r="I303" i="3"/>
  <c r="I299" i="3"/>
  <c r="I297" i="3"/>
  <c r="I287" i="3"/>
  <c r="I285" i="3"/>
  <c r="I283" i="3"/>
  <c r="I281" i="3"/>
  <c r="I279" i="3"/>
  <c r="I277" i="3"/>
  <c r="I273" i="3"/>
  <c r="I271" i="3"/>
  <c r="I269" i="3"/>
  <c r="I267" i="3"/>
  <c r="I265" i="3"/>
  <c r="I263" i="3"/>
  <c r="I261" i="3"/>
  <c r="I259" i="3"/>
  <c r="I257" i="3"/>
  <c r="I255" i="3"/>
  <c r="I244" i="3"/>
  <c r="I243" i="3" s="1"/>
  <c r="I190" i="3"/>
  <c r="I179" i="3"/>
  <c r="I177" i="3"/>
  <c r="I175" i="3"/>
  <c r="I169" i="3"/>
  <c r="I168" i="3" s="1"/>
  <c r="I156" i="3"/>
  <c r="I154" i="3"/>
  <c r="I153" i="3" s="1"/>
  <c r="I138" i="3"/>
  <c r="I136" i="3"/>
  <c r="I132" i="3"/>
  <c r="I131" i="3" s="1"/>
  <c r="I128" i="3"/>
  <c r="I125" i="3"/>
  <c r="I113" i="3"/>
  <c r="I111" i="3"/>
  <c r="I110" i="3" s="1"/>
  <c r="I106" i="3"/>
  <c r="I104" i="3"/>
  <c r="I100" i="3"/>
  <c r="I98" i="3"/>
  <c r="I96" i="3"/>
  <c r="I94" i="3"/>
  <c r="I89" i="3"/>
  <c r="I88" i="3" s="1"/>
  <c r="I85" i="3"/>
  <c r="I84" i="3" s="1"/>
  <c r="I81" i="3"/>
  <c r="I80" i="3" s="1"/>
  <c r="I72" i="3"/>
  <c r="I70" i="3"/>
  <c r="I68" i="3"/>
  <c r="I63" i="3"/>
  <c r="I59" i="3"/>
  <c r="I47" i="3"/>
  <c r="I46" i="3" s="1"/>
  <c r="H375" i="3"/>
  <c r="H373" i="3"/>
  <c r="H371" i="3"/>
  <c r="H368" i="3"/>
  <c r="H366" i="3"/>
  <c r="H359" i="3"/>
  <c r="H358" i="3" s="1"/>
  <c r="H356" i="3"/>
  <c r="H354" i="3"/>
  <c r="H353" i="3" s="1"/>
  <c r="H351" i="3"/>
  <c r="H350" i="3" s="1"/>
  <c r="H348" i="3"/>
  <c r="H347" i="3" s="1"/>
  <c r="H344" i="3"/>
  <c r="H343" i="3" s="1"/>
  <c r="H340" i="3"/>
  <c r="H339" i="3" s="1"/>
  <c r="H336" i="3"/>
  <c r="H335" i="3" s="1"/>
  <c r="H330" i="3"/>
  <c r="H329" i="3" s="1"/>
  <c r="H326" i="3"/>
  <c r="H324" i="3"/>
  <c r="H320" i="3"/>
  <c r="H319" i="3" s="1"/>
  <c r="H315" i="3"/>
  <c r="H314" i="3" s="1"/>
  <c r="H311" i="3"/>
  <c r="H303" i="3"/>
  <c r="H299" i="3"/>
  <c r="H297" i="3"/>
  <c r="H287" i="3"/>
  <c r="H285" i="3"/>
  <c r="H283" i="3"/>
  <c r="H281" i="3"/>
  <c r="H279" i="3"/>
  <c r="H277" i="3"/>
  <c r="H273" i="3"/>
  <c r="H271" i="3"/>
  <c r="H269" i="3"/>
  <c r="H267" i="3"/>
  <c r="H265" i="3"/>
  <c r="H263" i="3"/>
  <c r="H261" i="3"/>
  <c r="H259" i="3"/>
  <c r="H257" i="3"/>
  <c r="H255" i="3"/>
  <c r="H244" i="3"/>
  <c r="H243" i="3" s="1"/>
  <c r="H190" i="3"/>
  <c r="H179" i="3"/>
  <c r="H177" i="3"/>
  <c r="H175" i="3"/>
  <c r="H169" i="3"/>
  <c r="H168" i="3" s="1"/>
  <c r="H156" i="3"/>
  <c r="H154" i="3"/>
  <c r="H153" i="3" s="1"/>
  <c r="H138" i="3"/>
  <c r="H136" i="3"/>
  <c r="H132" i="3"/>
  <c r="H131" i="3" s="1"/>
  <c r="H128" i="3"/>
  <c r="H125" i="3"/>
  <c r="H113" i="3"/>
  <c r="H111" i="3"/>
  <c r="H110" i="3" s="1"/>
  <c r="H106" i="3"/>
  <c r="H104" i="3"/>
  <c r="H100" i="3"/>
  <c r="H98" i="3"/>
  <c r="H96" i="3"/>
  <c r="H94" i="3"/>
  <c r="H89" i="3"/>
  <c r="H88" i="3" s="1"/>
  <c r="H85" i="3"/>
  <c r="H84" i="3" s="1"/>
  <c r="H81" i="3"/>
  <c r="H80" i="3" s="1"/>
  <c r="H72" i="3"/>
  <c r="H70" i="3"/>
  <c r="H68" i="3"/>
  <c r="H65" i="3"/>
  <c r="H63" i="3"/>
  <c r="H59" i="3"/>
  <c r="H56" i="3" s="1"/>
  <c r="H55" i="3" s="1"/>
  <c r="H47" i="3"/>
  <c r="H46" i="3" s="1"/>
  <c r="G373" i="3"/>
  <c r="G371" i="3"/>
  <c r="G368" i="3"/>
  <c r="G366" i="3"/>
  <c r="G359" i="3"/>
  <c r="G358" i="3" s="1"/>
  <c r="G356" i="3"/>
  <c r="G354" i="3"/>
  <c r="G353" i="3" s="1"/>
  <c r="G351" i="3"/>
  <c r="G350" i="3" s="1"/>
  <c r="G348" i="3"/>
  <c r="G347" i="3" s="1"/>
  <c r="G344" i="3"/>
  <c r="G343" i="3" s="1"/>
  <c r="G340" i="3"/>
  <c r="G339" i="3" s="1"/>
  <c r="G336" i="3"/>
  <c r="G335" i="3" s="1"/>
  <c r="G330" i="3"/>
  <c r="G329" i="3" s="1"/>
  <c r="G326" i="3"/>
  <c r="G324" i="3"/>
  <c r="G320" i="3"/>
  <c r="G319" i="3" s="1"/>
  <c r="G315" i="3"/>
  <c r="G314" i="3" s="1"/>
  <c r="G311" i="3"/>
  <c r="G305" i="3"/>
  <c r="G303" i="3"/>
  <c r="G299" i="3"/>
  <c r="G297" i="3"/>
  <c r="G287" i="3"/>
  <c r="G285" i="3"/>
  <c r="G283" i="3"/>
  <c r="G281" i="3"/>
  <c r="G279" i="3"/>
  <c r="G277" i="3"/>
  <c r="G273" i="3"/>
  <c r="G271" i="3"/>
  <c r="G269" i="3"/>
  <c r="G267" i="3"/>
  <c r="G265" i="3"/>
  <c r="G263" i="3"/>
  <c r="G261" i="3"/>
  <c r="G259" i="3"/>
  <c r="G257" i="3"/>
  <c r="G255" i="3"/>
  <c r="G244" i="3"/>
  <c r="G243" i="3" s="1"/>
  <c r="G190" i="3"/>
  <c r="G179" i="3"/>
  <c r="G177" i="3"/>
  <c r="G175" i="3"/>
  <c r="G169" i="3"/>
  <c r="G168" i="3" s="1"/>
  <c r="G156" i="3"/>
  <c r="G154" i="3"/>
  <c r="G153" i="3" s="1"/>
  <c r="G138" i="3"/>
  <c r="G136" i="3"/>
  <c r="G132" i="3"/>
  <c r="G130" i="3" s="1"/>
  <c r="G128" i="3"/>
  <c r="G125" i="3"/>
  <c r="G113" i="3"/>
  <c r="G111" i="3"/>
  <c r="G110" i="3" s="1"/>
  <c r="G106" i="3"/>
  <c r="G104" i="3"/>
  <c r="G100" i="3"/>
  <c r="G98" i="3"/>
  <c r="G96" i="3"/>
  <c r="G94" i="3"/>
  <c r="G89" i="3"/>
  <c r="G88" i="3" s="1"/>
  <c r="G85" i="3"/>
  <c r="G84" i="3" s="1"/>
  <c r="G81" i="3"/>
  <c r="G80" i="3" s="1"/>
  <c r="G72" i="3"/>
  <c r="G70" i="3"/>
  <c r="G68" i="3"/>
  <c r="G65" i="3"/>
  <c r="G63" i="3"/>
  <c r="G59" i="3"/>
  <c r="G56" i="3" s="1"/>
  <c r="G55" i="3" s="1"/>
  <c r="G47" i="3"/>
  <c r="G46" i="3" s="1"/>
  <c r="F369" i="3"/>
  <c r="J369" i="3" s="1"/>
  <c r="K368" i="3" s="1"/>
  <c r="F266" i="3"/>
  <c r="F265" i="3" s="1"/>
  <c r="F256" i="3"/>
  <c r="F255" i="3" s="1"/>
  <c r="F288" i="3"/>
  <c r="F287" i="3" s="1"/>
  <c r="F284" i="3"/>
  <c r="F283" i="3" s="1"/>
  <c r="F270" i="3"/>
  <c r="F269" i="3" s="1"/>
  <c r="F268" i="3"/>
  <c r="F267" i="3" s="1"/>
  <c r="F280" i="3"/>
  <c r="F279" i="3" s="1"/>
  <c r="F211" i="3"/>
  <c r="F215" i="3"/>
  <c r="F208" i="3"/>
  <c r="F213" i="3"/>
  <c r="F179" i="3"/>
  <c r="F304" i="3"/>
  <c r="F303" i="3" s="1"/>
  <c r="F139" i="3"/>
  <c r="F138" i="3" s="1"/>
  <c r="E207" i="3"/>
  <c r="F178" i="3"/>
  <c r="F177" i="3" s="1"/>
  <c r="E177" i="3"/>
  <c r="F220" i="3"/>
  <c r="F218" i="3" s="1"/>
  <c r="F217" i="3" s="1"/>
  <c r="F170" i="3"/>
  <c r="J170" i="3" s="1"/>
  <c r="F176" i="3"/>
  <c r="F175" i="3" s="1"/>
  <c r="D189" i="3"/>
  <c r="F190" i="3"/>
  <c r="F196" i="3"/>
  <c r="J196" i="3" s="1"/>
  <c r="J195" i="3" s="1"/>
  <c r="E202" i="3"/>
  <c r="E218" i="3"/>
  <c r="E169" i="3"/>
  <c r="E168" i="3" s="1"/>
  <c r="E172" i="3"/>
  <c r="E175" i="3"/>
  <c r="E184" i="3"/>
  <c r="E190" i="3"/>
  <c r="E195" i="3"/>
  <c r="E221" i="3"/>
  <c r="E375" i="3"/>
  <c r="E366" i="3"/>
  <c r="E368" i="3"/>
  <c r="E371" i="3"/>
  <c r="E373" i="3"/>
  <c r="D376" i="3"/>
  <c r="F376" i="3" s="1"/>
  <c r="F375" i="3" s="1"/>
  <c r="F367" i="3"/>
  <c r="F366" i="3" s="1"/>
  <c r="F372" i="3"/>
  <c r="F371" i="3" s="1"/>
  <c r="F374" i="3"/>
  <c r="F373" i="3" s="1"/>
  <c r="D244" i="3"/>
  <c r="D243" i="3" s="1"/>
  <c r="D247" i="3"/>
  <c r="D246" i="3" s="1"/>
  <c r="D255" i="3"/>
  <c r="D257" i="3"/>
  <c r="D259" i="3"/>
  <c r="D261" i="3"/>
  <c r="D263" i="3"/>
  <c r="D265" i="3"/>
  <c r="D267" i="3"/>
  <c r="D269" i="3"/>
  <c r="D271" i="3"/>
  <c r="D273" i="3"/>
  <c r="D277" i="3"/>
  <c r="D279" i="3"/>
  <c r="D281" i="3"/>
  <c r="D283" i="3"/>
  <c r="D285" i="3"/>
  <c r="D287" i="3"/>
  <c r="D299" i="3"/>
  <c r="D305" i="3"/>
  <c r="D303" i="3"/>
  <c r="E244" i="3"/>
  <c r="E243" i="3" s="1"/>
  <c r="E247" i="3"/>
  <c r="E246" i="3" s="1"/>
  <c r="E305" i="3"/>
  <c r="E303" i="3"/>
  <c r="E297" i="3"/>
  <c r="E299" i="3"/>
  <c r="F245" i="3"/>
  <c r="F244" i="3" s="1"/>
  <c r="F243" i="3" s="1"/>
  <c r="F258" i="3"/>
  <c r="F257" i="3" s="1"/>
  <c r="F260" i="3"/>
  <c r="F259" i="3" s="1"/>
  <c r="F262" i="3"/>
  <c r="F261" i="3" s="1"/>
  <c r="F264" i="3"/>
  <c r="F263" i="3" s="1"/>
  <c r="F272" i="3"/>
  <c r="F271" i="3" s="1"/>
  <c r="F274" i="3"/>
  <c r="F273" i="3" s="1"/>
  <c r="F278" i="3"/>
  <c r="F277" i="3" s="1"/>
  <c r="F282" i="3"/>
  <c r="F281" i="3" s="1"/>
  <c r="F285" i="3"/>
  <c r="F248" i="3"/>
  <c r="J248" i="3" s="1"/>
  <c r="F249" i="3"/>
  <c r="J249" i="3" s="1"/>
  <c r="F306" i="3"/>
  <c r="F305" i="3" s="1"/>
  <c r="F298" i="3"/>
  <c r="F297" i="3" s="1"/>
  <c r="F300" i="3"/>
  <c r="F299" i="3" s="1"/>
  <c r="D29" i="3"/>
  <c r="D34" i="3"/>
  <c r="D38" i="3"/>
  <c r="F364" i="3"/>
  <c r="J364" i="3" s="1"/>
  <c r="F360" i="3"/>
  <c r="F359" i="3" s="1"/>
  <c r="F358" i="3" s="1"/>
  <c r="F357" i="3"/>
  <c r="F356" i="3" s="1"/>
  <c r="F355" i="3"/>
  <c r="F354" i="3" s="1"/>
  <c r="F353" i="3" s="1"/>
  <c r="F352" i="3"/>
  <c r="F349" i="3"/>
  <c r="J349" i="3" s="1"/>
  <c r="F345" i="3"/>
  <c r="F342" i="3"/>
  <c r="J342" i="3" s="1"/>
  <c r="F341" i="3"/>
  <c r="J341" i="3" s="1"/>
  <c r="K340" i="3" s="1"/>
  <c r="K339" i="3" s="1"/>
  <c r="F337" i="3"/>
  <c r="F336" i="3" s="1"/>
  <c r="F335" i="3" s="1"/>
  <c r="F332" i="3"/>
  <c r="J332" i="3" s="1"/>
  <c r="F334" i="3"/>
  <c r="J334" i="3" s="1"/>
  <c r="F331" i="3"/>
  <c r="J331" i="3" s="1"/>
  <c r="F327" i="3"/>
  <c r="F326" i="3" s="1"/>
  <c r="F325" i="3"/>
  <c r="F324" i="3" s="1"/>
  <c r="F322" i="3"/>
  <c r="J322" i="3" s="1"/>
  <c r="F321" i="3"/>
  <c r="J321" i="3" s="1"/>
  <c r="K320" i="3" s="1"/>
  <c r="K319" i="3" s="1"/>
  <c r="F317" i="3"/>
  <c r="J317" i="3" s="1"/>
  <c r="K315" i="3" s="1"/>
  <c r="K314" i="3" s="1"/>
  <c r="F316" i="3"/>
  <c r="J316" i="3" s="1"/>
  <c r="F318" i="3"/>
  <c r="J318" i="3" s="1"/>
  <c r="F310" i="3"/>
  <c r="F309" i="3" s="1"/>
  <c r="F308" i="3" s="1"/>
  <c r="F313" i="3"/>
  <c r="F312" i="3"/>
  <c r="J312" i="3" s="1"/>
  <c r="D309" i="3"/>
  <c r="D308" i="3" s="1"/>
  <c r="F155" i="3"/>
  <c r="F154" i="3" s="1"/>
  <c r="F153" i="3" s="1"/>
  <c r="F152" i="3"/>
  <c r="F150" i="3" s="1"/>
  <c r="F148" i="3"/>
  <c r="F146" i="3" s="1"/>
  <c r="F144" i="3"/>
  <c r="J144" i="3" s="1"/>
  <c r="F137" i="3"/>
  <c r="F133" i="3"/>
  <c r="F132" i="3" s="1"/>
  <c r="F129" i="3"/>
  <c r="F128" i="3" s="1"/>
  <c r="F127" i="3"/>
  <c r="F125" i="3" s="1"/>
  <c r="F114" i="3"/>
  <c r="F113" i="3" s="1"/>
  <c r="F112" i="3"/>
  <c r="F111" i="3" s="1"/>
  <c r="F110" i="3" s="1"/>
  <c r="E104" i="3"/>
  <c r="F108" i="3"/>
  <c r="F106" i="3" s="1"/>
  <c r="F105" i="3"/>
  <c r="F104" i="3" s="1"/>
  <c r="F101" i="3"/>
  <c r="F100" i="3" s="1"/>
  <c r="F99" i="3"/>
  <c r="F98" i="3" s="1"/>
  <c r="D97" i="3"/>
  <c r="F97" i="3" s="1"/>
  <c r="F96" i="3" s="1"/>
  <c r="F95" i="3"/>
  <c r="F94" i="3" s="1"/>
  <c r="F91" i="3"/>
  <c r="J91" i="3" s="1"/>
  <c r="F90" i="3"/>
  <c r="J90" i="3" s="1"/>
  <c r="F87" i="3"/>
  <c r="J87" i="3" s="1"/>
  <c r="F86" i="3"/>
  <c r="J86" i="3" s="1"/>
  <c r="F83" i="3"/>
  <c r="J83" i="3" s="1"/>
  <c r="F82" i="3"/>
  <c r="J82" i="3" s="1"/>
  <c r="F78" i="3"/>
  <c r="J78" i="3" s="1"/>
  <c r="F73" i="3"/>
  <c r="F72" i="3" s="1"/>
  <c r="F71" i="3"/>
  <c r="F70" i="3" s="1"/>
  <c r="F69" i="3"/>
  <c r="F68" i="3" s="1"/>
  <c r="F67" i="3"/>
  <c r="F65" i="3" s="1"/>
  <c r="F64" i="3"/>
  <c r="F63" i="3" s="1"/>
  <c r="F60" i="3"/>
  <c r="F59" i="3" s="1"/>
  <c r="F49" i="3"/>
  <c r="J49" i="3" s="1"/>
  <c r="F50" i="3"/>
  <c r="J50" i="3" s="1"/>
  <c r="F48" i="3"/>
  <c r="J48" i="3" s="1"/>
  <c r="F39" i="3"/>
  <c r="F38" i="3" s="1"/>
  <c r="F35" i="3"/>
  <c r="J35" i="3" s="1"/>
  <c r="K34" i="3" s="1"/>
  <c r="F31" i="3"/>
  <c r="F32" i="3"/>
  <c r="J32" i="3" s="1"/>
  <c r="F30" i="3"/>
  <c r="F25" i="3"/>
  <c r="F22" i="3"/>
  <c r="J22" i="3" s="1"/>
  <c r="E21" i="3"/>
  <c r="E20" i="3" s="1"/>
  <c r="E362" i="3"/>
  <c r="E361" i="3" s="1"/>
  <c r="E359" i="3"/>
  <c r="E358" i="3" s="1"/>
  <c r="E356" i="3"/>
  <c r="E354" i="3"/>
  <c r="E353" i="3" s="1"/>
  <c r="E351" i="3"/>
  <c r="E350" i="3" s="1"/>
  <c r="E348" i="3"/>
  <c r="E347" i="3" s="1"/>
  <c r="E344" i="3"/>
  <c r="E343" i="3" s="1"/>
  <c r="E340" i="3"/>
  <c r="E339" i="3" s="1"/>
  <c r="E336" i="3"/>
  <c r="E335" i="3" s="1"/>
  <c r="E330" i="3"/>
  <c r="E329" i="3" s="1"/>
  <c r="E326" i="3"/>
  <c r="E324" i="3"/>
  <c r="E320" i="3"/>
  <c r="E319" i="3" s="1"/>
  <c r="E315" i="3"/>
  <c r="E314" i="3" s="1"/>
  <c r="E311" i="3"/>
  <c r="E308" i="3"/>
  <c r="E159" i="3"/>
  <c r="E158" i="3" s="1"/>
  <c r="E156" i="3"/>
  <c r="E154" i="3"/>
  <c r="E153" i="3" s="1"/>
  <c r="E150" i="3"/>
  <c r="E149" i="3" s="1"/>
  <c r="E146" i="3"/>
  <c r="E145" i="3" s="1"/>
  <c r="E142" i="3"/>
  <c r="E141" i="3" s="1"/>
  <c r="E138" i="3"/>
  <c r="E136" i="3"/>
  <c r="E132" i="3"/>
  <c r="E130" i="3" s="1"/>
  <c r="E128" i="3"/>
  <c r="E125" i="3"/>
  <c r="E121" i="3"/>
  <c r="E117" i="3"/>
  <c r="E113" i="3"/>
  <c r="E111" i="3"/>
  <c r="E110" i="3" s="1"/>
  <c r="E106" i="3"/>
  <c r="E100" i="3"/>
  <c r="E98" i="3"/>
  <c r="E96" i="3"/>
  <c r="E94" i="3"/>
  <c r="E89" i="3"/>
  <c r="E88" i="3" s="1"/>
  <c r="E85" i="3"/>
  <c r="E84" i="3" s="1"/>
  <c r="E81" i="3"/>
  <c r="E80" i="3" s="1"/>
  <c r="E76" i="3"/>
  <c r="E75" i="3" s="1"/>
  <c r="E74" i="3" s="1"/>
  <c r="E72" i="3"/>
  <c r="E70" i="3"/>
  <c r="E68" i="3"/>
  <c r="E65" i="3"/>
  <c r="E63" i="3"/>
  <c r="E59" i="3"/>
  <c r="E56" i="3" s="1"/>
  <c r="E55" i="3" s="1"/>
  <c r="E52" i="3"/>
  <c r="E51" i="3" s="1"/>
  <c r="E47" i="3"/>
  <c r="E46" i="3" s="1"/>
  <c r="E41" i="3"/>
  <c r="E40" i="3" s="1"/>
  <c r="E38" i="3"/>
  <c r="E34" i="3"/>
  <c r="E29" i="3"/>
  <c r="E24" i="3"/>
  <c r="E23" i="3" s="1"/>
  <c r="D330" i="3"/>
  <c r="D329" i="3" s="1"/>
  <c r="D336" i="3"/>
  <c r="D335" i="3" s="1"/>
  <c r="D221" i="3"/>
  <c r="D218" i="3"/>
  <c r="D340" i="3"/>
  <c r="D339" i="3" s="1"/>
  <c r="D344" i="3"/>
  <c r="D343" i="3" s="1"/>
  <c r="D366" i="3"/>
  <c r="D368" i="3"/>
  <c r="D371" i="3"/>
  <c r="D373" i="3"/>
  <c r="D138" i="3"/>
  <c r="D156" i="3"/>
  <c r="D72" i="3"/>
  <c r="D70" i="3"/>
  <c r="D59" i="3"/>
  <c r="D56" i="3" s="1"/>
  <c r="D55" i="3" s="1"/>
  <c r="D47" i="3"/>
  <c r="D46" i="3" s="1"/>
  <c r="D52" i="3"/>
  <c r="D51" i="3" s="1"/>
  <c r="D63" i="3"/>
  <c r="D65" i="3"/>
  <c r="D68" i="3"/>
  <c r="D76" i="3"/>
  <c r="D75" i="3" s="1"/>
  <c r="D74" i="3" s="1"/>
  <c r="D311" i="3"/>
  <c r="D315" i="3"/>
  <c r="D314" i="3" s="1"/>
  <c r="D320" i="3"/>
  <c r="D319" i="3" s="1"/>
  <c r="D324" i="3"/>
  <c r="D326" i="3"/>
  <c r="D175" i="3"/>
  <c r="D202" i="3"/>
  <c r="D169" i="3"/>
  <c r="D168" i="3" s="1"/>
  <c r="D21" i="3"/>
  <c r="D20" i="3" s="1"/>
  <c r="D24" i="3"/>
  <c r="D23" i="3" s="1"/>
  <c r="D41" i="3"/>
  <c r="D40" i="3" s="1"/>
  <c r="D100" i="3"/>
  <c r="D81" i="3"/>
  <c r="D80" i="3" s="1"/>
  <c r="D85" i="3"/>
  <c r="D84" i="3" s="1"/>
  <c r="D104" i="3"/>
  <c r="D106" i="3"/>
  <c r="D111" i="3"/>
  <c r="D110" i="3" s="1"/>
  <c r="D113" i="3"/>
  <c r="D117" i="3"/>
  <c r="D121" i="3"/>
  <c r="D125" i="3"/>
  <c r="D128" i="3"/>
  <c r="D94" i="3"/>
  <c r="D98" i="3"/>
  <c r="D89" i="3"/>
  <c r="D88" i="3" s="1"/>
  <c r="D132" i="3"/>
  <c r="D131" i="3" s="1"/>
  <c r="D136" i="3"/>
  <c r="D142" i="3"/>
  <c r="D141" i="3" s="1"/>
  <c r="D150" i="3"/>
  <c r="D149" i="3" s="1"/>
  <c r="D154" i="3"/>
  <c r="D153" i="3" s="1"/>
  <c r="D159" i="3"/>
  <c r="D158" i="3" s="1"/>
  <c r="D172" i="3"/>
  <c r="D190" i="3"/>
  <c r="D195" i="3"/>
  <c r="D351" i="3"/>
  <c r="D350" i="3" s="1"/>
  <c r="D359" i="3"/>
  <c r="D358" i="3" s="1"/>
  <c r="D348" i="3"/>
  <c r="D347" i="3" s="1"/>
  <c r="D354" i="3"/>
  <c r="D353" i="3" s="1"/>
  <c r="D362" i="3"/>
  <c r="D361" i="3" s="1"/>
  <c r="D356" i="3"/>
  <c r="D146" i="3"/>
  <c r="D145" i="3" s="1"/>
  <c r="H305" i="3"/>
  <c r="J330" i="3" l="1"/>
  <c r="J329" i="3" s="1"/>
  <c r="K75" i="3"/>
  <c r="K74" i="3" s="1"/>
  <c r="J76" i="3"/>
  <c r="J75" i="3" s="1"/>
  <c r="J345" i="3"/>
  <c r="K344" i="3" s="1"/>
  <c r="K343" i="3" s="1"/>
  <c r="K338" i="3" s="1"/>
  <c r="J275" i="3"/>
  <c r="K275" i="3"/>
  <c r="J207" i="3"/>
  <c r="K207" i="3"/>
  <c r="J348" i="3"/>
  <c r="J347" i="3" s="1"/>
  <c r="K348" i="3"/>
  <c r="K347" i="3" s="1"/>
  <c r="J211" i="3"/>
  <c r="K211" i="3"/>
  <c r="J230" i="3"/>
  <c r="J209" i="3"/>
  <c r="K209" i="3"/>
  <c r="J285" i="3"/>
  <c r="K285" i="3"/>
  <c r="K80" i="3"/>
  <c r="K47" i="3"/>
  <c r="K46" i="3" s="1"/>
  <c r="K247" i="3"/>
  <c r="K246" i="3" s="1"/>
  <c r="K121" i="3"/>
  <c r="J215" i="3"/>
  <c r="K215" i="3"/>
  <c r="J169" i="3"/>
  <c r="J168" i="3" s="1"/>
  <c r="K169" i="3"/>
  <c r="K168" i="3" s="1"/>
  <c r="J166" i="3"/>
  <c r="K166" i="3"/>
  <c r="J213" i="3"/>
  <c r="K213" i="3"/>
  <c r="J190" i="3"/>
  <c r="K190" i="3"/>
  <c r="K142" i="3"/>
  <c r="K141" i="3" s="1"/>
  <c r="K329" i="3"/>
  <c r="J161" i="3"/>
  <c r="K161" i="3"/>
  <c r="J233" i="3"/>
  <c r="K233" i="3"/>
  <c r="J21" i="3"/>
  <c r="J20" i="3" s="1"/>
  <c r="K21" i="3"/>
  <c r="K20" i="3" s="1"/>
  <c r="J251" i="3"/>
  <c r="K251" i="3"/>
  <c r="J43" i="3"/>
  <c r="K43" i="3"/>
  <c r="K89" i="3"/>
  <c r="K88" i="3" s="1"/>
  <c r="K85" i="3"/>
  <c r="K84" i="3" s="1"/>
  <c r="J327" i="3"/>
  <c r="J262" i="3"/>
  <c r="K261" i="3" s="1"/>
  <c r="F136" i="3"/>
  <c r="F135" i="3" s="1"/>
  <c r="F134" i="3" s="1"/>
  <c r="J137" i="3"/>
  <c r="J304" i="3"/>
  <c r="J376" i="3"/>
  <c r="K375" i="3" s="1"/>
  <c r="F351" i="3"/>
  <c r="F350" i="3" s="1"/>
  <c r="J352" i="3"/>
  <c r="K351" i="3" s="1"/>
  <c r="K350" i="3" s="1"/>
  <c r="J245" i="3"/>
  <c r="J274" i="3"/>
  <c r="J260" i="3"/>
  <c r="J258" i="3"/>
  <c r="J280" i="3"/>
  <c r="J272" i="3"/>
  <c r="K271" i="3" s="1"/>
  <c r="J268" i="3"/>
  <c r="J203" i="3"/>
  <c r="K202" i="3" s="1"/>
  <c r="J270" i="3"/>
  <c r="J278" i="3"/>
  <c r="J139" i="3"/>
  <c r="J264" i="3"/>
  <c r="J288" i="3"/>
  <c r="J121" i="3"/>
  <c r="I29" i="3"/>
  <c r="J157" i="3"/>
  <c r="J185" i="3"/>
  <c r="J53" i="3"/>
  <c r="J152" i="3"/>
  <c r="J150" i="3" s="1"/>
  <c r="J164" i="3"/>
  <c r="J160" i="3"/>
  <c r="F121" i="3"/>
  <c r="F116" i="3" s="1"/>
  <c r="F115" i="3" s="1"/>
  <c r="F247" i="3"/>
  <c r="F246" i="3" s="1"/>
  <c r="F34" i="3"/>
  <c r="F33" i="3" s="1"/>
  <c r="E328" i="3"/>
  <c r="J58" i="3"/>
  <c r="J56" i="3" s="1"/>
  <c r="J155" i="3"/>
  <c r="J310" i="3"/>
  <c r="J367" i="3"/>
  <c r="G254" i="3"/>
  <c r="G253" i="3" s="1"/>
  <c r="J247" i="3"/>
  <c r="J246" i="3" s="1"/>
  <c r="J256" i="3"/>
  <c r="J337" i="3"/>
  <c r="J67" i="3"/>
  <c r="J65" i="3" s="1"/>
  <c r="J372" i="3"/>
  <c r="J368" i="3"/>
  <c r="J298" i="3"/>
  <c r="F254" i="3"/>
  <c r="F253" i="3" s="1"/>
  <c r="I254" i="3"/>
  <c r="I253" i="3" s="1"/>
  <c r="I302" i="3"/>
  <c r="I301" i="3" s="1"/>
  <c r="J300" i="3"/>
  <c r="I195" i="3"/>
  <c r="I184" i="3"/>
  <c r="I43" i="3"/>
  <c r="I230" i="3"/>
  <c r="I371" i="3"/>
  <c r="I370" i="3" s="1"/>
  <c r="I365" i="3" s="1"/>
  <c r="J31" i="3"/>
  <c r="J30" i="3"/>
  <c r="J148" i="3"/>
  <c r="J74" i="3"/>
  <c r="J47" i="3"/>
  <c r="J46" i="3" s="1"/>
  <c r="J64" i="3"/>
  <c r="J133" i="3"/>
  <c r="F76" i="3"/>
  <c r="F75" i="3" s="1"/>
  <c r="F74" i="3" s="1"/>
  <c r="J284" i="3"/>
  <c r="J71" i="3"/>
  <c r="H140" i="3"/>
  <c r="J282" i="3"/>
  <c r="J69" i="3"/>
  <c r="J306" i="3"/>
  <c r="J374" i="3"/>
  <c r="J60" i="3"/>
  <c r="F142" i="3"/>
  <c r="F141" i="3" s="1"/>
  <c r="I246" i="3"/>
  <c r="G246" i="3"/>
  <c r="H246" i="3"/>
  <c r="H254" i="3"/>
  <c r="H253" i="3" s="1"/>
  <c r="I140" i="3"/>
  <c r="G140" i="3"/>
  <c r="I56" i="3"/>
  <c r="I55" i="3" s="1"/>
  <c r="G62" i="3"/>
  <c r="G61" i="3" s="1"/>
  <c r="G45" i="3" s="1"/>
  <c r="I116" i="3"/>
  <c r="I115" i="3" s="1"/>
  <c r="J129" i="3"/>
  <c r="J118" i="3"/>
  <c r="J108" i="3"/>
  <c r="J34" i="3"/>
  <c r="H201" i="3"/>
  <c r="H200" i="3" s="1"/>
  <c r="J114" i="3"/>
  <c r="J73" i="3"/>
  <c r="J112" i="3"/>
  <c r="J99" i="3"/>
  <c r="J97" i="3"/>
  <c r="F195" i="3"/>
  <c r="F171" i="3" s="1"/>
  <c r="F149" i="3"/>
  <c r="F145" i="3"/>
  <c r="J142" i="3"/>
  <c r="J141" i="3" s="1"/>
  <c r="E116" i="3"/>
  <c r="E115" i="3" s="1"/>
  <c r="E302" i="3"/>
  <c r="E301" i="3" s="1"/>
  <c r="E242" i="3" s="1"/>
  <c r="G201" i="3"/>
  <c r="G200" i="3" s="1"/>
  <c r="J95" i="3"/>
  <c r="J176" i="3"/>
  <c r="J105" i="3"/>
  <c r="I201" i="3"/>
  <c r="I200" i="3" s="1"/>
  <c r="D338" i="3"/>
  <c r="D302" i="3"/>
  <c r="D301" i="3" s="1"/>
  <c r="J325" i="3"/>
  <c r="J39" i="3"/>
  <c r="E323" i="3"/>
  <c r="E307" i="3" s="1"/>
  <c r="J101" i="3"/>
  <c r="H116" i="3"/>
  <c r="H115" i="3" s="1"/>
  <c r="G171" i="3"/>
  <c r="H171" i="3"/>
  <c r="F323" i="3"/>
  <c r="E33" i="3"/>
  <c r="E28" i="3" s="1"/>
  <c r="E19" i="3" s="1"/>
  <c r="F320" i="3"/>
  <c r="F319" i="3" s="1"/>
  <c r="J173" i="3"/>
  <c r="J178" i="3"/>
  <c r="J81" i="3"/>
  <c r="J80" i="3" s="1"/>
  <c r="G33" i="3"/>
  <c r="G28" i="3" s="1"/>
  <c r="G19" i="3" s="1"/>
  <c r="D109" i="3"/>
  <c r="F29" i="3"/>
  <c r="G103" i="3"/>
  <c r="G102" i="3" s="1"/>
  <c r="D375" i="3"/>
  <c r="F24" i="3"/>
  <c r="F23" i="3" s="1"/>
  <c r="H135" i="3"/>
  <c r="H134" i="3" s="1"/>
  <c r="E93" i="3"/>
  <c r="E92" i="3" s="1"/>
  <c r="D323" i="3"/>
  <c r="D307" i="3" s="1"/>
  <c r="E370" i="3"/>
  <c r="E365" i="3" s="1"/>
  <c r="H103" i="3"/>
  <c r="H102" i="3" s="1"/>
  <c r="F109" i="3"/>
  <c r="F169" i="3"/>
  <c r="F168" i="3" s="1"/>
  <c r="J25" i="3"/>
  <c r="K24" i="3" s="1"/>
  <c r="K23" i="3" s="1"/>
  <c r="F89" i="3"/>
  <c r="F88" i="3" s="1"/>
  <c r="G302" i="3"/>
  <c r="G301" i="3" s="1"/>
  <c r="H33" i="3"/>
  <c r="H28" i="3" s="1"/>
  <c r="H19" i="3" s="1"/>
  <c r="D184" i="3"/>
  <c r="D171" i="3" s="1"/>
  <c r="H302" i="3"/>
  <c r="H301" i="3" s="1"/>
  <c r="F21" i="3"/>
  <c r="F20" i="3" s="1"/>
  <c r="E135" i="3"/>
  <c r="E134" i="3" s="1"/>
  <c r="F315" i="3"/>
  <c r="F314" i="3" s="1"/>
  <c r="I103" i="3"/>
  <c r="I102" i="3" s="1"/>
  <c r="J85" i="3"/>
  <c r="J84" i="3" s="1"/>
  <c r="D201" i="3"/>
  <c r="D33" i="3"/>
  <c r="D28" i="3" s="1"/>
  <c r="D19" i="3" s="1"/>
  <c r="D254" i="3"/>
  <c r="D253" i="3" s="1"/>
  <c r="F368" i="3"/>
  <c r="G370" i="3"/>
  <c r="G365" i="3" s="1"/>
  <c r="F93" i="3"/>
  <c r="F92" i="3" s="1"/>
  <c r="H346" i="3"/>
  <c r="D62" i="3"/>
  <c r="D61" i="3" s="1"/>
  <c r="D45" i="3" s="1"/>
  <c r="D135" i="3"/>
  <c r="D134" i="3" s="1"/>
  <c r="F348" i="3"/>
  <c r="F347" i="3" s="1"/>
  <c r="G328" i="3"/>
  <c r="H130" i="3"/>
  <c r="H338" i="3"/>
  <c r="I109" i="3"/>
  <c r="J315" i="3"/>
  <c r="J314" i="3" s="1"/>
  <c r="D130" i="3"/>
  <c r="D103" i="3"/>
  <c r="D102" i="3" s="1"/>
  <c r="E109" i="3"/>
  <c r="F311" i="3"/>
  <c r="I135" i="3"/>
  <c r="I134" i="3" s="1"/>
  <c r="I338" i="3"/>
  <c r="F370" i="3"/>
  <c r="F340" i="3"/>
  <c r="F339" i="3" s="1"/>
  <c r="F81" i="3"/>
  <c r="F80" i="3" s="1"/>
  <c r="G93" i="3"/>
  <c r="G92" i="3" s="1"/>
  <c r="G116" i="3"/>
  <c r="G115" i="3" s="1"/>
  <c r="G323" i="3"/>
  <c r="G307" i="3" s="1"/>
  <c r="H93" i="3"/>
  <c r="H92" i="3" s="1"/>
  <c r="I62" i="3"/>
  <c r="I61" i="3" s="1"/>
  <c r="I328" i="3"/>
  <c r="J320" i="3"/>
  <c r="J319" i="3" s="1"/>
  <c r="J340" i="3"/>
  <c r="J339" i="3" s="1"/>
  <c r="J357" i="3"/>
  <c r="F47" i="3"/>
  <c r="F46" i="3" s="1"/>
  <c r="F330" i="3"/>
  <c r="F329" i="3" s="1"/>
  <c r="F328" i="3" s="1"/>
  <c r="H62" i="3"/>
  <c r="H61" i="3" s="1"/>
  <c r="H45" i="3" s="1"/>
  <c r="H328" i="3"/>
  <c r="H370" i="3"/>
  <c r="H365" i="3" s="1"/>
  <c r="J89" i="3"/>
  <c r="J88" i="3" s="1"/>
  <c r="G338" i="3"/>
  <c r="G346" i="3"/>
  <c r="I33" i="3"/>
  <c r="I130" i="3"/>
  <c r="D328" i="3"/>
  <c r="D116" i="3"/>
  <c r="D115" i="3" s="1"/>
  <c r="D370" i="3"/>
  <c r="E62" i="3"/>
  <c r="E61" i="3" s="1"/>
  <c r="E45" i="3" s="1"/>
  <c r="E103" i="3"/>
  <c r="E102" i="3" s="1"/>
  <c r="E201" i="3"/>
  <c r="G109" i="3"/>
  <c r="G135" i="3"/>
  <c r="G134" i="3" s="1"/>
  <c r="H109" i="3"/>
  <c r="H323" i="3"/>
  <c r="H307" i="3" s="1"/>
  <c r="I93" i="3"/>
  <c r="I92" i="3" s="1"/>
  <c r="I323" i="3"/>
  <c r="I307" i="3" s="1"/>
  <c r="I346" i="3"/>
  <c r="F56" i="3"/>
  <c r="F55" i="3" s="1"/>
  <c r="E346" i="3"/>
  <c r="F62" i="3"/>
  <c r="J362" i="3"/>
  <c r="J361" i="3" s="1"/>
  <c r="D346" i="3"/>
  <c r="E140" i="3"/>
  <c r="E338" i="3"/>
  <c r="F302" i="3"/>
  <c r="F301" i="3" s="1"/>
  <c r="F130" i="3"/>
  <c r="F131" i="3"/>
  <c r="D140" i="3"/>
  <c r="F103" i="3"/>
  <c r="F102" i="3" s="1"/>
  <c r="F344" i="3"/>
  <c r="F343" i="3" s="1"/>
  <c r="E171" i="3"/>
  <c r="F207" i="3"/>
  <c r="F201" i="3" s="1"/>
  <c r="F200" i="3" s="1"/>
  <c r="G131" i="3"/>
  <c r="J360" i="3"/>
  <c r="D96" i="3"/>
  <c r="D93" i="3" s="1"/>
  <c r="D92" i="3" s="1"/>
  <c r="E131" i="3"/>
  <c r="J42" i="3"/>
  <c r="J313" i="3"/>
  <c r="F85" i="3"/>
  <c r="F84" i="3" s="1"/>
  <c r="F362" i="3"/>
  <c r="F361" i="3" s="1"/>
  <c r="J355" i="3"/>
  <c r="J261" i="3" l="1"/>
  <c r="J375" i="3"/>
  <c r="J202" i="3"/>
  <c r="J201" i="3" s="1"/>
  <c r="J200" i="3" s="1"/>
  <c r="J344" i="3"/>
  <c r="J343" i="3" s="1"/>
  <c r="J338" i="3" s="1"/>
  <c r="J271" i="3"/>
  <c r="K201" i="3"/>
  <c r="K200" i="3" s="1"/>
  <c r="J351" i="3"/>
  <c r="J350" i="3" s="1"/>
  <c r="J94" i="3"/>
  <c r="K94" i="3"/>
  <c r="J106" i="3"/>
  <c r="J373" i="3"/>
  <c r="K373" i="3"/>
  <c r="J184" i="3"/>
  <c r="K184" i="3"/>
  <c r="J217" i="3"/>
  <c r="K217" i="3"/>
  <c r="J311" i="3"/>
  <c r="J175" i="3"/>
  <c r="K175" i="3"/>
  <c r="J70" i="3"/>
  <c r="K70" i="3"/>
  <c r="J138" i="3"/>
  <c r="K138" i="3"/>
  <c r="J136" i="3"/>
  <c r="K136" i="3"/>
  <c r="J146" i="3"/>
  <c r="J145" i="3" s="1"/>
  <c r="K146" i="3"/>
  <c r="K145" i="3" s="1"/>
  <c r="J154" i="3"/>
  <c r="J153" i="3" s="1"/>
  <c r="K154" i="3"/>
  <c r="K153" i="3" s="1"/>
  <c r="J163" i="3"/>
  <c r="K163" i="3"/>
  <c r="J263" i="3"/>
  <c r="K263" i="3"/>
  <c r="J257" i="3"/>
  <c r="K257" i="3"/>
  <c r="J303" i="3"/>
  <c r="K303" i="3"/>
  <c r="J354" i="3"/>
  <c r="J353" i="3" s="1"/>
  <c r="K354" i="3"/>
  <c r="K353" i="3" s="1"/>
  <c r="J356" i="3"/>
  <c r="K356" i="3"/>
  <c r="J72" i="3"/>
  <c r="K72" i="3"/>
  <c r="J281" i="3"/>
  <c r="J371" i="3"/>
  <c r="K371" i="3"/>
  <c r="J309" i="3"/>
  <c r="J308" i="3" s="1"/>
  <c r="K309" i="3"/>
  <c r="K308" i="3" s="1"/>
  <c r="J159" i="3"/>
  <c r="J158" i="3" s="1"/>
  <c r="K159" i="3"/>
  <c r="K158" i="3" s="1"/>
  <c r="J287" i="3"/>
  <c r="K287" i="3"/>
  <c r="J279" i="3"/>
  <c r="K279" i="3"/>
  <c r="J224" i="3"/>
  <c r="K29" i="3"/>
  <c r="J172" i="3"/>
  <c r="K172" i="3"/>
  <c r="J59" i="3"/>
  <c r="J55" i="3" s="1"/>
  <c r="K59" i="3"/>
  <c r="K55" i="3" s="1"/>
  <c r="J277" i="3"/>
  <c r="K277" i="3"/>
  <c r="J299" i="3"/>
  <c r="K299" i="3"/>
  <c r="J149" i="3"/>
  <c r="K150" i="3"/>
  <c r="K149" i="3" s="1"/>
  <c r="J111" i="3"/>
  <c r="J110" i="3" s="1"/>
  <c r="K111" i="3"/>
  <c r="K110" i="3" s="1"/>
  <c r="J68" i="3"/>
  <c r="K68" i="3"/>
  <c r="J324" i="3"/>
  <c r="K324" i="3"/>
  <c r="J98" i="3"/>
  <c r="K98" i="3"/>
  <c r="J128" i="3"/>
  <c r="K128" i="3"/>
  <c r="J63" i="3"/>
  <c r="K63" i="3"/>
  <c r="J297" i="3"/>
  <c r="K297" i="3"/>
  <c r="J366" i="3"/>
  <c r="K366" i="3"/>
  <c r="J267" i="3"/>
  <c r="K267" i="3"/>
  <c r="J326" i="3"/>
  <c r="K326" i="3"/>
  <c r="K224" i="3"/>
  <c r="J41" i="3"/>
  <c r="J40" i="3" s="1"/>
  <c r="K41" i="3"/>
  <c r="K40" i="3" s="1"/>
  <c r="J269" i="3"/>
  <c r="K269" i="3"/>
  <c r="J177" i="3"/>
  <c r="K177" i="3"/>
  <c r="J100" i="3"/>
  <c r="K100" i="3"/>
  <c r="J283" i="3"/>
  <c r="K283" i="3"/>
  <c r="J255" i="3"/>
  <c r="K255" i="3"/>
  <c r="J52" i="3"/>
  <c r="J51" i="3" s="1"/>
  <c r="K52" i="3"/>
  <c r="K51" i="3" s="1"/>
  <c r="J273" i="3"/>
  <c r="K273" i="3"/>
  <c r="J104" i="3"/>
  <c r="K104" i="3"/>
  <c r="J336" i="3"/>
  <c r="J335" i="3" s="1"/>
  <c r="J328" i="3" s="1"/>
  <c r="K336" i="3"/>
  <c r="K335" i="3" s="1"/>
  <c r="K328" i="3" s="1"/>
  <c r="J259" i="3"/>
  <c r="K259" i="3"/>
  <c r="J113" i="3"/>
  <c r="K113" i="3"/>
  <c r="J359" i="3"/>
  <c r="J358" i="3" s="1"/>
  <c r="K359" i="3"/>
  <c r="K358" i="3" s="1"/>
  <c r="J38" i="3"/>
  <c r="J33" i="3" s="1"/>
  <c r="K38" i="3"/>
  <c r="K33" i="3" s="1"/>
  <c r="J96" i="3"/>
  <c r="J117" i="3"/>
  <c r="K116" i="3"/>
  <c r="J305" i="3"/>
  <c r="K305" i="3"/>
  <c r="J132" i="3"/>
  <c r="J131" i="3" s="1"/>
  <c r="K132" i="3"/>
  <c r="J156" i="3"/>
  <c r="K156" i="3"/>
  <c r="J244" i="3"/>
  <c r="J243" i="3" s="1"/>
  <c r="K244" i="3"/>
  <c r="K243" i="3" s="1"/>
  <c r="F346" i="3"/>
  <c r="I28" i="3"/>
  <c r="I19" i="3" s="1"/>
  <c r="I171" i="3"/>
  <c r="I165" i="3" s="1"/>
  <c r="D242" i="3"/>
  <c r="F140" i="3"/>
  <c r="J29" i="3"/>
  <c r="I45" i="3"/>
  <c r="F365" i="3"/>
  <c r="I242" i="3"/>
  <c r="F242" i="3"/>
  <c r="J24" i="3"/>
  <c r="J23" i="3" s="1"/>
  <c r="G242" i="3"/>
  <c r="H242" i="3"/>
  <c r="F61" i="3"/>
  <c r="F45" i="3" s="1"/>
  <c r="J116" i="3"/>
  <c r="G165" i="3"/>
  <c r="H165" i="3"/>
  <c r="F338" i="3"/>
  <c r="F307" i="3"/>
  <c r="F28" i="3"/>
  <c r="F19" i="3" s="1"/>
  <c r="G79" i="3"/>
  <c r="H79" i="3"/>
  <c r="E79" i="3"/>
  <c r="F165" i="3"/>
  <c r="D365" i="3"/>
  <c r="D79" i="3"/>
  <c r="I79" i="3"/>
  <c r="D165" i="3"/>
  <c r="E165" i="3"/>
  <c r="F79" i="3"/>
  <c r="J346" i="3" l="1"/>
  <c r="J302" i="3"/>
  <c r="J301" i="3" s="1"/>
  <c r="K254" i="3"/>
  <c r="K253" i="3" s="1"/>
  <c r="J93" i="3"/>
  <c r="J92" i="3" s="1"/>
  <c r="J103" i="3"/>
  <c r="J102" i="3" s="1"/>
  <c r="J62" i="3"/>
  <c r="J61" i="3" s="1"/>
  <c r="J45" i="3" s="1"/>
  <c r="J171" i="3"/>
  <c r="J165" i="3" s="1"/>
  <c r="K62" i="3"/>
  <c r="K61" i="3" s="1"/>
  <c r="K45" i="3" s="1"/>
  <c r="J130" i="3"/>
  <c r="J115" i="3"/>
  <c r="K370" i="3"/>
  <c r="K365" i="3" s="1"/>
  <c r="J323" i="3"/>
  <c r="J307" i="3" s="1"/>
  <c r="J109" i="3"/>
  <c r="J135" i="3"/>
  <c r="J134" i="3" s="1"/>
  <c r="K171" i="3"/>
  <c r="K165" i="3" s="1"/>
  <c r="J370" i="3"/>
  <c r="J365" i="3" s="1"/>
  <c r="J140" i="3"/>
  <c r="J254" i="3"/>
  <c r="J253" i="3" s="1"/>
  <c r="J242" i="3" s="1"/>
  <c r="K346" i="3"/>
  <c r="K140" i="3"/>
  <c r="K115" i="3"/>
  <c r="K93" i="3"/>
  <c r="K92" i="3" s="1"/>
  <c r="K103" i="3"/>
  <c r="K102" i="3" s="1"/>
  <c r="K28" i="3"/>
  <c r="K19" i="3" s="1"/>
  <c r="K135" i="3"/>
  <c r="K134" i="3" s="1"/>
  <c r="K109" i="3"/>
  <c r="K131" i="3"/>
  <c r="K130" i="3"/>
  <c r="K323" i="3"/>
  <c r="K307" i="3" s="1"/>
  <c r="K302" i="3"/>
  <c r="K301" i="3" s="1"/>
  <c r="J28" i="3"/>
  <c r="J19" i="3" s="1"/>
  <c r="G377" i="3"/>
  <c r="F377" i="3"/>
  <c r="I377" i="3"/>
  <c r="H377" i="3"/>
  <c r="E377" i="3"/>
  <c r="D377" i="3"/>
  <c r="J79" i="3" l="1"/>
  <c r="J377" i="3" s="1"/>
  <c r="K242" i="3"/>
  <c r="K79" i="3"/>
  <c r="K377" i="3" l="1"/>
</calcChain>
</file>

<file path=xl/sharedStrings.xml><?xml version="1.0" encoding="utf-8"?>
<sst xmlns="http://schemas.openxmlformats.org/spreadsheetml/2006/main" count="915" uniqueCount="379">
  <si>
    <t>Наименование кода</t>
  </si>
  <si>
    <t>Сумма</t>
  </si>
  <si>
    <t xml:space="preserve">Расходы на  обеспечение функций муниципальных органов </t>
  </si>
  <si>
    <t>Подпрограмма "Доступная среда"</t>
  </si>
  <si>
    <t>Муниципальная программа "Развитие  культуры"</t>
  </si>
  <si>
    <t>Подпрограмма "Развитие дошкольного образования"</t>
  </si>
  <si>
    <t>Подпрограмма "Развитие общего образования"</t>
  </si>
  <si>
    <t>Всего расходов</t>
  </si>
  <si>
    <t>Осуществление полномочий  Калининградской области  по определению перечня  должностных лиц,  уполномоченных составлять протоколы об административных  правонарушениях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</si>
  <si>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</si>
  <si>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жилищно-коммунального хозяйства " </t>
  </si>
  <si>
    <t>Проведение социально значимых мероприятий в сфере культуры</t>
  </si>
  <si>
    <t>к решению окружного Совета депутатов</t>
  </si>
  <si>
    <t xml:space="preserve">Глава МО "Зеленоградский городской округ" </t>
  </si>
  <si>
    <t>Подпрограмма " Совершенствование мер  социальной поддержки  отдельных категория граждан"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</si>
  <si>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 вознаграждения приемным родителям и патронатным воспитателям</t>
  </si>
  <si>
    <t>Адаптация  учреждений   обслуживающих население  доступности для инвалидов.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</si>
  <si>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</si>
  <si>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</si>
  <si>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>Резервный фонд по предупреждению  и ликвидации последствий  чрезвычайных ситуаций  и стихийных бедствий  администрации МО "Зеленоградский городской округ"</t>
  </si>
  <si>
    <t xml:space="preserve">Осуществление переданных  полномочий Российской Федерации на государственную регистрацию актов гражданского состояния </t>
  </si>
  <si>
    <t xml:space="preserve">Депутаты окружного Совета </t>
  </si>
  <si>
    <t>Непрограммные направления расходов</t>
  </si>
  <si>
    <t xml:space="preserve">Исполнение судебных актов  по обращению взыскания на средства бюджета городского округа </t>
  </si>
  <si>
    <t>0210070620</t>
  </si>
  <si>
    <t>Целевая статья расходов (ЦСР)</t>
  </si>
  <si>
    <t>Вид расходов  (ВР)</t>
  </si>
  <si>
    <t>тыс. руб.</t>
  </si>
  <si>
    <t>600</t>
  </si>
  <si>
    <t>Предоставление субсидий бюджетным, автономным  учреждениям  и иным некомерческим организациям</t>
  </si>
  <si>
    <t>0210001010</t>
  </si>
  <si>
    <t>0210000000</t>
  </si>
  <si>
    <t>0300070720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</si>
  <si>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</si>
  <si>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</si>
  <si>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</si>
  <si>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</si>
  <si>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0300070670</t>
  </si>
  <si>
    <t>Основное мероприятие "Финансовое обеспечение  исполнительного органа  муниципальной власти  за счет переданных полномочий на руководство в  сфере социальной поддержки населения"</t>
  </si>
  <si>
    <t>Основное  мероприятие "Обеспечение государственных гарантий  реализации прав на получение  бесплатного дошкольного образования  в муниципальных дошкольных образовательных организациях"</t>
  </si>
  <si>
    <t xml:space="preserve">Основное мероприятие "Обеспечение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организациях" </t>
  </si>
  <si>
    <t>0220000000</t>
  </si>
  <si>
    <t>Предоставление  государственных  услуг (выполнение  работ) по  начальному общему,  основному общему и среднему общему образованию</t>
  </si>
  <si>
    <t xml:space="preserve">Предоставление питания льготных категорий обучающихся </t>
  </si>
  <si>
    <t>0221000000</t>
  </si>
  <si>
    <t>0221070620</t>
  </si>
  <si>
    <t>0221001010</t>
  </si>
  <si>
    <t>0221002010</t>
  </si>
  <si>
    <t>Основное мероприяти "Предоставление дополнительного образования"</t>
  </si>
  <si>
    <t>0222000000</t>
  </si>
  <si>
    <t>Предоставление муниципальных услуг  по дополнительному образованию</t>
  </si>
  <si>
    <t>0222001010</t>
  </si>
  <si>
    <t>Основное мероприятие "Финансовое обеспечение  исполнительного органа  муниципальной власти "</t>
  </si>
  <si>
    <t>0200001010</t>
  </si>
  <si>
    <t>800</t>
  </si>
  <si>
    <t>Иные бюджетные ассигновнаия</t>
  </si>
  <si>
    <t>0200002010</t>
  </si>
  <si>
    <t>Проведение  мероприятий</t>
  </si>
  <si>
    <t xml:space="preserve">0200000000  </t>
  </si>
  <si>
    <t>0500000000</t>
  </si>
  <si>
    <t>Основное мероприятие "Благоустройство территории  муниципального образования"</t>
  </si>
  <si>
    <t>Подпрограмма " Развитие системы социального обслуживания населения  и повышения качества  жизни   граждан  старшего поколения"</t>
  </si>
  <si>
    <t>0320000000</t>
  </si>
  <si>
    <t xml:space="preserve">Основное мероприятие"Социальное обслуживание граждан- получателей  социальных услуг" </t>
  </si>
  <si>
    <t>0320070710</t>
  </si>
  <si>
    <t>Субвенции на обеспечение полномочий Калининградской области  по социальному обслуживанию граждан пожилого возроста и инвалидов</t>
  </si>
  <si>
    <t>0300000000</t>
  </si>
  <si>
    <t xml:space="preserve">Подпрограмма "Совершенствование мер  социальной поддержки  детей и семей  с детьми" </t>
  </si>
  <si>
    <t>0330000000</t>
  </si>
  <si>
    <t>Основное мороприятие "Обеспечение социальной поддержки  детей и семей, имеющих детей"</t>
  </si>
  <si>
    <t>0330070640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</si>
  <si>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попечительства над несовершеннолетними детьми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</si>
  <si>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попечительству над совершеннолетними   гражданами</t>
  </si>
  <si>
    <t>032070650</t>
  </si>
  <si>
    <t>Социальное обеспечение и иные выплаты населению</t>
  </si>
  <si>
    <t>0330070610</t>
  </si>
  <si>
    <t>300</t>
  </si>
  <si>
    <t>0511000000</t>
  </si>
  <si>
    <t xml:space="preserve">Муниципальная программа "Развитие сельского хозяйства" </t>
  </si>
  <si>
    <t>0600000000</t>
  </si>
  <si>
    <t xml:space="preserve">Основное мероприятие "Обеспечение выполнение органами местного самоуправления  переданных государственных полномочий" </t>
  </si>
  <si>
    <t>0601000000</t>
  </si>
  <si>
    <t>0601070660</t>
  </si>
  <si>
    <t>Обеспечение  исполнительного органа  муниципальной власти  за счет переданных полномочий на руководство по организации  работы комиссии по делам   несовершеннолетних  и защите их прав</t>
  </si>
  <si>
    <t>Обеспечение  исполнительного органа  муниципальной власти  за счет переданных полномочий руководство  в сфере социальной политики</t>
  </si>
  <si>
    <t>Обеспечение  исполнительного органа  муниципальной власти  за счет переданных полномочий в части  руководство в  сфере сельского хозяйства"</t>
  </si>
  <si>
    <t>Подпрограмма "Организация отдыха и оздоровления детей"</t>
  </si>
  <si>
    <t>Основное  мероприятие "Организация оздоровительного отдыха  и занятости детей"</t>
  </si>
  <si>
    <t>0340070120</t>
  </si>
  <si>
    <t>0340000000</t>
  </si>
  <si>
    <t>0700000000</t>
  </si>
  <si>
    <t>0700059300</t>
  </si>
  <si>
    <t>Основное мероприятие "Государственная поддержка  сельского хозяйства  и регулирование рынков  сельскохозяйственной продукции"</t>
  </si>
  <si>
    <t>Подпрограмма " Поддержка  сельскохозяйственного производства"</t>
  </si>
  <si>
    <t>0610000000</t>
  </si>
  <si>
    <t>0602001010</t>
  </si>
  <si>
    <t>Подпрограмма "Развитие сельских территорий"</t>
  </si>
  <si>
    <t>Основное мероприятие "Развитие сельских территориий"</t>
  </si>
  <si>
    <t>0630001010</t>
  </si>
  <si>
    <t>0100000000</t>
  </si>
  <si>
    <t>0102001010</t>
  </si>
  <si>
    <t>Глава администрации муниципального образования "Зеленограсдкий городской округ"</t>
  </si>
  <si>
    <t>Основное мероприятие "Финансове обеспечение исполнительных органов  муниципальной власти "</t>
  </si>
  <si>
    <t>Расходы на обеспечение  функций  муниципальных органов исполнительной власти</t>
  </si>
  <si>
    <t>0103001010</t>
  </si>
  <si>
    <t>0104001010</t>
  </si>
  <si>
    <t>Основное мероприятие "Финансирование расходов на участие в Ассоциации  муниципальных образований"</t>
  </si>
  <si>
    <t>0105001010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</si>
  <si>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</si>
  <si>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</si>
  <si>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</si>
  <si>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0801001010</t>
  </si>
  <si>
    <t>0802001010</t>
  </si>
  <si>
    <t>0701001010</t>
  </si>
  <si>
    <t>Основное мероприятие "Депутаты  окружного Совета"</t>
  </si>
  <si>
    <t>0702001010</t>
  </si>
  <si>
    <t>Муниципальная  программа "Безопасность"</t>
  </si>
  <si>
    <t xml:space="preserve">Основное мероприятие "Обеспечение  функционирования единой системы вызовов  экстренной оператинвной службы" </t>
  </si>
  <si>
    <t xml:space="preserve">Создание системы обеспечения вызовов  экмтренной оперативной службы по единому номеру "112" </t>
  </si>
  <si>
    <t>0900000000</t>
  </si>
  <si>
    <t>0901001010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</si>
  <si>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</si>
  <si>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0902001010</t>
  </si>
  <si>
    <t>0310000000</t>
  </si>
  <si>
    <t>Основное мероприятие "Обеспечение социальной поддержки  отдельных категорий граждан"</t>
  </si>
  <si>
    <t>03100П1010</t>
  </si>
  <si>
    <t>03100П2010</t>
  </si>
  <si>
    <t>03100П3010</t>
  </si>
  <si>
    <t>0300001010</t>
  </si>
  <si>
    <t>03100П5010</t>
  </si>
  <si>
    <t>Организация отдыха детей находящихся в трудной жизненной ситуации (О.Б.)</t>
  </si>
  <si>
    <t>Организация отдыха детей находящихся в трудной жизненной ситуации (М.Б.)</t>
  </si>
  <si>
    <t>0340001010</t>
  </si>
  <si>
    <t>Организация проведения общественных работ (М.Б.)</t>
  </si>
  <si>
    <t>0340002010</t>
  </si>
  <si>
    <t>Основные мероприятия" Обеспечение доступности  инвалидов  для посещения муниципальных учреждений"</t>
  </si>
  <si>
    <t>0350001010</t>
  </si>
  <si>
    <t xml:space="preserve">Подпрограмма "Доступное и комфортное жилье" </t>
  </si>
  <si>
    <t xml:space="preserve">Основные меропниятия " Обеспечение жильем молодым  гражданам" </t>
  </si>
  <si>
    <t>Основное мероприятие " 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</si>
  <si>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 (оказание услуг)  библиотек</t>
  </si>
  <si>
    <t>0400000000</t>
  </si>
  <si>
    <t>Основное  мероприятие "Проведение культурно-просветительных мероприятий"</t>
  </si>
  <si>
    <t>0400002010</t>
  </si>
  <si>
    <t>0400001010</t>
  </si>
  <si>
    <t>Расходы на обеспечение деятельности  (оказание услуг)   учреждений культуры</t>
  </si>
  <si>
    <t xml:space="preserve">Основное мероприятие "Осуществление   организации по  экспозиции музейных коллекций" </t>
  </si>
  <si>
    <t>Расходы на обеспечение деятельности (оказание услуг)    учреждений музея</t>
  </si>
  <si>
    <t>0400003010</t>
  </si>
  <si>
    <t>Основное мероприятие "Проведение культурно- просветительных  мероприятий"</t>
  </si>
  <si>
    <t>0400004010</t>
  </si>
  <si>
    <t>Осуществление мероприятий по благоустройству территории муниципального образования</t>
  </si>
  <si>
    <t>0511001010</t>
  </si>
  <si>
    <t xml:space="preserve">Осуществление расходов за ливневые стоки </t>
  </si>
  <si>
    <t>Основное мероприятие "Оплата капитального ремонта жилого фонда"</t>
  </si>
  <si>
    <t>0520000000</t>
  </si>
  <si>
    <t>0520001010</t>
  </si>
  <si>
    <t>0530000000</t>
  </si>
  <si>
    <t>0530001010</t>
  </si>
  <si>
    <t xml:space="preserve">Расходы на обеспечение  деятельности  казённых учреждений </t>
  </si>
  <si>
    <t>Основное мероприятие "Финансове обеспечение многофункционального центра"</t>
  </si>
  <si>
    <t>Основное мероприятие "Проведение спортивно-массовых мероприятий"</t>
  </si>
  <si>
    <t>Организация и проведение спортивно-массовых мероприятий</t>
  </si>
  <si>
    <t>0400005010</t>
  </si>
  <si>
    <t>Муниципальная программа "Модернизация экономики"</t>
  </si>
  <si>
    <t xml:space="preserve">Основное мероприятие Организация  и проведение работ  по государственной кадастровой оценки" </t>
  </si>
  <si>
    <t>1000000000</t>
  </si>
  <si>
    <t>1000001010</t>
  </si>
  <si>
    <t xml:space="preserve">Осуществление ежемесечных платежей за капитальный ремонт муниципальных квартиры </t>
  </si>
  <si>
    <t>Основное мероприятие "Обеспечение  документами территориального планировнаия  для размещение объектов муниципаального значения"</t>
  </si>
  <si>
    <t>Организация работы по формировнаию генерального плана  территории муниципального образовнаия</t>
  </si>
  <si>
    <t>1000002010</t>
  </si>
  <si>
    <t>Основное мероприятие "Определение границ муниципального образования в установленном порядке"</t>
  </si>
  <si>
    <t>Организация работ по межеванию  земельных участков</t>
  </si>
  <si>
    <t>1000003010</t>
  </si>
  <si>
    <t>9900001010</t>
  </si>
  <si>
    <t>Основное мероприятие "Мероприятия по обеспечению  массового информирования жителей муниципального образования"</t>
  </si>
  <si>
    <t>Размещение информационных материалов  с целью  информирования граждан  о вопросах социально-экономичесского развития  муниципального образования"</t>
  </si>
  <si>
    <t>0703001010</t>
  </si>
  <si>
    <t>9900002010</t>
  </si>
  <si>
    <t xml:space="preserve">Резервные фонды </t>
  </si>
  <si>
    <t>9900002110</t>
  </si>
  <si>
    <t>Транспортное обслуживание население</t>
  </si>
  <si>
    <t>1000004010</t>
  </si>
  <si>
    <t>Основное мероприятие " Организация транспортного обслуживания населения"</t>
  </si>
  <si>
    <t>Основное мероприятие "Повышение эффективности работы  организационных механизмов поддержки малого бизнеса"</t>
  </si>
  <si>
    <t>Обеспечение поддержки юридических лиц работующих в сфере малого бизнеса</t>
  </si>
  <si>
    <t>1000005010</t>
  </si>
  <si>
    <t>Капитальные вложения в объекты муниципальной собственности</t>
  </si>
  <si>
    <t>9900003010</t>
  </si>
  <si>
    <t>400</t>
  </si>
  <si>
    <t>0320070000</t>
  </si>
  <si>
    <t>Организация отдыха детей всех групп здоровья в лагерях различных типов (О.Б.)</t>
  </si>
  <si>
    <t>0340071140</t>
  </si>
  <si>
    <t>0340070000</t>
  </si>
  <si>
    <t>Мероприятия по организации  обеспечению жильем молодых  семей (М.Б.)</t>
  </si>
  <si>
    <t>Субсидии на решение вопросов местного значения в сфере жилищно-коммунального хозяйства (О.Б.)</t>
  </si>
  <si>
    <t>Содержание морских пляжей  в границах муниципального образовнаия</t>
  </si>
  <si>
    <t>Субсидии на поддержку муниципальных газет (О.Б.)</t>
  </si>
  <si>
    <t>0703071250</t>
  </si>
  <si>
    <t xml:space="preserve">Адресный инвестиционный перечень объектов  капитального вложения в объекты муниципальной собственности </t>
  </si>
  <si>
    <t>Расходы на выплату  поощрительной степендии  многодетным  семьям в соответствии с Решением районного Совета депутатов МО "Зеленоградский район" от 31.03.2008г. №168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</si>
  <si>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</si>
  <si>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</si>
  <si>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 xml:space="preserve">Подпрограмма "Развитие  дополнительного образования" </t>
  </si>
  <si>
    <t>0222001000</t>
  </si>
  <si>
    <t>Основное мероприятие "Обеспечению присмотра и ухода за детьми в  муниципальных дошкольных организаций и содержание муниципального имущества "</t>
  </si>
  <si>
    <t>Организация  и проведение работ  по паспортизации технической инвентаризации  объектов недвижимости</t>
  </si>
  <si>
    <t>Оценка земельных участков  для реализации с аукциона</t>
  </si>
  <si>
    <t>1000006010</t>
  </si>
  <si>
    <t>Мероведение мероприятий "Борьба с борьщевиком "Сосновского"</t>
  </si>
  <si>
    <t>0620001020</t>
  </si>
  <si>
    <t xml:space="preserve">Обеспечение бесплатной перевозки обучающихся к муниципальным общеобразовательным учреждениям </t>
  </si>
  <si>
    <t>0221071010</t>
  </si>
  <si>
    <t xml:space="preserve">Модернизация автобусного парка </t>
  </si>
  <si>
    <t>0221071280</t>
  </si>
  <si>
    <t>Предоставление муниципальных услуг в части обеспечения начального общего, основного общего  и среднего общего   образования</t>
  </si>
  <si>
    <t xml:space="preserve">Предоставление срочной адресной помощи гражданам, оказавшимся в трудной жизненной ситуации, в соответствии с  постановлением администрации МО "Зеленоградский городской округ" от 18.04.2016г. №692 "Об оказании адресной материальной помощи за счет средств бюджета МО "Зеленоградский городской округ" малоимущим гражданам Зеленоградского городского округа" </t>
  </si>
  <si>
    <t>Предоставление ежемесячных выплат почетным гражданам  муниципального образования "Зеленоградский городской округ"  в соответствии решением Совета депутатов от 16.12.2015г. №325 " Об утверждении Положения "О присвоении звания "Почетный гражданин МО "Зеленоградский городской округ"</t>
  </si>
  <si>
    <t>2018 год</t>
  </si>
  <si>
    <t>Основное мероприятие "Проведение конкурсных  мероприятий, направленных на развитие профессионального мастерства педагогических работников"</t>
  </si>
  <si>
    <t>Предоставление   муниципальных гарантий  муниципальным служащим  в соответствии с Решением  окружного Совета депутатов  от 16.12.2015г. № 326"Об утверждении Положения " О 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</si>
  <si>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0700001010</t>
  </si>
  <si>
    <t>Содержание мунципального казенного учреждение "Плантаже"</t>
  </si>
  <si>
    <t>Основное мероприятие "Развитие и обслуживание системы АПК "Безопасный город"</t>
  </si>
  <si>
    <t>0106001010</t>
  </si>
  <si>
    <t>Обеспечение поддержки  в сфере культуры</t>
  </si>
  <si>
    <t>0400071090</t>
  </si>
  <si>
    <t>Мероприятия по организации  обеспечению жильем молодых  семей (О.Б.)</t>
  </si>
  <si>
    <t xml:space="preserve">Обеспечение деятельности муниципальных учреждений, обеспечивающих организацию предоставления государственных и муниципальных услуг по принцепу "одного окна" </t>
  </si>
  <si>
    <t>0104071050</t>
  </si>
  <si>
    <t>01040071050</t>
  </si>
  <si>
    <t>Устойчивое развитие сельских территорий  (предоставление  социальных выплат на  строительство (приобретение) жилья гражданам, проживающим в сельской местности, в  том числе молодых семей и молодых специалистов) (О.Б.)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</si>
  <si>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</si>
  <si>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9900000000</t>
  </si>
  <si>
    <t>9900051200</t>
  </si>
  <si>
    <t>Основное мероприятие " Содержание МКУ "Служба заказчика Зеленограского городского окргуга"</t>
  </si>
  <si>
    <t>0520071380</t>
  </si>
  <si>
    <t>0520070730</t>
  </si>
  <si>
    <t>0520002010</t>
  </si>
  <si>
    <t>0570003010</t>
  </si>
  <si>
    <t>0540000000</t>
  </si>
  <si>
    <t>0540001010</t>
  </si>
  <si>
    <t>0530071120</t>
  </si>
  <si>
    <t>Распределение бюджетных ассигнований  бюджета  Зеленоградского  городского округа  на 2018 год  по   целевым статьям  (муниципальным  программам   и непрограммным  направлениям  деятельности),  группам видов  классификации расходов</t>
  </si>
  <si>
    <t xml:space="preserve">Уточнения </t>
  </si>
  <si>
    <t>Межпоселковый газопровод высокого давления отг. Калининграда к пос. Переславское, Кумачёво, Зелёный Гай 1-й этап</t>
  </si>
  <si>
    <t>Капитальные вложения в объекты государственной (муниципальной) собственности</t>
  </si>
  <si>
    <t>05300R099В</t>
  </si>
  <si>
    <t xml:space="preserve">Субвенция на содержание  товарного молочного поголовья КРС молочных пород </t>
  </si>
  <si>
    <t>Иные бюджетные ассигнования</t>
  </si>
  <si>
    <t>Субвенция на компенсацию  части затрат  на строительство, модернизацию и техническое освещение свиноводческих комплексов  поного цикла боен</t>
  </si>
  <si>
    <t>Субвенция на возмещение части затрат  на приобретение племенного  молодняка с\х животных (за исключением  КРС мясного направления)  и семени племенных быков производителей)</t>
  </si>
  <si>
    <t xml:space="preserve">Субвенция на возмещение части затрат  с\х  товаропроизводителей  при проведении  агрохимического  обследования  с\х угодий </t>
  </si>
  <si>
    <t>Субвенция на поддержку  производства и переработку  сельскохозяйственной продукции  в малых формах хозяйствования</t>
  </si>
  <si>
    <t xml:space="preserve">Субвенция на возмещение  части затрат  на строительство, реконстркуцию  и модернизацию  птицеводческих комплексов </t>
  </si>
  <si>
    <t>Субвенция на возмещение части затрат  при определении посевных  и сортовых качеств семян  и проведение сортоиспытания</t>
  </si>
  <si>
    <t xml:space="preserve">Субвенции на повышение продукции  крупного рогатого скота  молочного направления </t>
  </si>
  <si>
    <t xml:space="preserve">Субвенция на оказание поддержки на развитие садаводства,  многолетних плодово-ягодных насождений </t>
  </si>
  <si>
    <t xml:space="preserve">Субвенция на поддержку племенного животноводства </t>
  </si>
  <si>
    <t xml:space="preserve">Возмещение части процентных ставоки  по долгосрочным, среднесрочным  и краткосрочным кредитам, взятыми малыми формами хозяйствоания </t>
  </si>
  <si>
    <t>Поддержка начинающих фермеров</t>
  </si>
  <si>
    <t>Грантовая поддержка  сельскохозяйственных потребительских кооперативов  для развития материально-технической базы</t>
  </si>
  <si>
    <t>Субвенции на возмещение части процентной ставки  по инвестиционным кредитам (займам)  в агропромышленном комплексе</t>
  </si>
  <si>
    <t>Проведение мероприятий "Вовлечение в оборот земель сельскохозяйственного назначения"</t>
  </si>
  <si>
    <t>0610070780</t>
  </si>
  <si>
    <t>0610070790</t>
  </si>
  <si>
    <t>0610070810</t>
  </si>
  <si>
    <t>0610070820</t>
  </si>
  <si>
    <t>0610070830</t>
  </si>
  <si>
    <t>0610070840</t>
  </si>
  <si>
    <t>0610070860</t>
  </si>
  <si>
    <t>0610070880</t>
  </si>
  <si>
    <t xml:space="preserve">Субвенция на оказание несвязанной поддержки сельскохозяйственным  товаропроизводителям  в области растениеводства </t>
  </si>
  <si>
    <t xml:space="preserve">Субвенция на оказание погектарной поддержки на выращивание продкуции растениеводства </t>
  </si>
  <si>
    <t>06100R5410</t>
  </si>
  <si>
    <t>06100R5420</t>
  </si>
  <si>
    <t>06100R5432</t>
  </si>
  <si>
    <t>06100R5434</t>
  </si>
  <si>
    <t>06100R5436</t>
  </si>
  <si>
    <t>06100R543А</t>
  </si>
  <si>
    <t>06100R543В</t>
  </si>
  <si>
    <t>06100R5440</t>
  </si>
  <si>
    <t>0620001030</t>
  </si>
  <si>
    <t>Формирование современной городской среды на дворовые территории</t>
  </si>
  <si>
    <t>0520071070</t>
  </si>
  <si>
    <t>Ремонт фасада здания, расроложенного по адресу Калининградская область г. Зеленоградск ул. Ленина д.1</t>
  </si>
  <si>
    <t>0400021910</t>
  </si>
  <si>
    <t xml:space="preserve">к решению окружного Совета депутатов </t>
  </si>
  <si>
    <t>0520071240</t>
  </si>
  <si>
    <t>Разработка проектной и рабочей документации  по объекту "Реконструкция  очистных сооружений  в пос. Рыбачий Зеленоградского района"</t>
  </si>
  <si>
    <t>0530094019</t>
  </si>
  <si>
    <t>Разработка проектной и рабочей документации по объекту "Газификация пос. Кострово, пос. Логвино Зеленогррадского района"</t>
  </si>
  <si>
    <t>0530094009</t>
  </si>
  <si>
    <t>0530094010</t>
  </si>
  <si>
    <t>0540000101</t>
  </si>
  <si>
    <t xml:space="preserve">Поправки №2 </t>
  </si>
  <si>
    <t>доп 500</t>
  </si>
  <si>
    <t>обл</t>
  </si>
  <si>
    <t>Изменения местный бюджет</t>
  </si>
  <si>
    <t>Уточненные назначения</t>
  </si>
  <si>
    <t>0107001010</t>
  </si>
  <si>
    <t>Выполнение других общегосударственных задач</t>
  </si>
  <si>
    <t>Осуществление полномочий Калининградской области  в сфере организации работы комиссии по делам  несовершеннолетних  и защите их прав</t>
  </si>
  <si>
    <t xml:space="preserve">Осуществление мероприятий "Проведение работ по  капитальному ремонту дорог общего пользования" </t>
  </si>
  <si>
    <t>Проведение ремонта автомобильных дорог  общего пользования муниципального значения (за счет дорожного фонда)</t>
  </si>
  <si>
    <t xml:space="preserve">Проведение ремонта автомобильных дорог  общего пользования муниципального значения </t>
  </si>
  <si>
    <t>Расходы по содержанию жилищного хозяйства</t>
  </si>
  <si>
    <t>0510003010</t>
  </si>
  <si>
    <t>Разработка проектной и рабочей документации  по объекту "Межпоселковый газопровод высокого давления от г. Калининграда к пос. Переславское, Кумачево, Зелёный Гай Зеленоградского района II этап"</t>
  </si>
  <si>
    <t>0530094004</t>
  </si>
  <si>
    <t>053009404</t>
  </si>
  <si>
    <t>Прокладка тепловых сетей с устройством тепловых пунктов в г. Зеленоградске Калининградской области</t>
  </si>
  <si>
    <t>Мероприятие по реализации "Программы конкретных дел"</t>
  </si>
  <si>
    <t>Иные бюджетные ассигновнания</t>
  </si>
  <si>
    <t>Газификация объектов городского округа</t>
  </si>
  <si>
    <t>0530001020</t>
  </si>
  <si>
    <t>Мероприятие по поддержке коммунального хозяйства</t>
  </si>
  <si>
    <t>Проведение работ по объекту "Капитальный ремонт здания, расположенного по адресу: Калининградская область, г. Зеленоградск, ул. Ленина д.1</t>
  </si>
  <si>
    <t>0400006010</t>
  </si>
  <si>
    <t>0603001010</t>
  </si>
  <si>
    <t>Возмещение части затрат на обследование молока и молочной продукции гражданам реализующим молока</t>
  </si>
  <si>
    <t>Субвенции на возмещение части затрат на приобретение элитных семян</t>
  </si>
  <si>
    <t>06100R5431</t>
  </si>
  <si>
    <t>9900002000</t>
  </si>
  <si>
    <t>Подпрограмма" Обеспечение и совершенствование услуг казенными учреждениями"</t>
  </si>
  <si>
    <t>от  "15" декабря 2017 г. №180</t>
  </si>
  <si>
    <t>"О бюджете  муниципального образования "Зеленоградский городской округ" на 2018 год и на плановый  период 2019 и 2020 годов"</t>
  </si>
  <si>
    <t>Приложение №9</t>
  </si>
  <si>
    <t>Создание условий для отдыха и рекреации в муниципальных образованиях Калининградской области</t>
  </si>
  <si>
    <t>Организация проведения мероприятий  посвященных праздничным датам</t>
  </si>
  <si>
    <t>Основное мероприятие "Финансовое обеспечение проведения праздничных мероприятий"</t>
  </si>
  <si>
    <t>Субвенции  гражданам на приобретение жилья на селе (М.Б.)</t>
  </si>
  <si>
    <t>06300L5674</t>
  </si>
  <si>
    <t>МО "Зеленоградский городской округ"</t>
  </si>
  <si>
    <t>Муниципальная программа МО "Эффективные финансы"</t>
  </si>
  <si>
    <t xml:space="preserve">Муниципальная программа  "Развитие гражданского общества" </t>
  </si>
  <si>
    <t>Муниципальная программа   "Социальная поддержка населения"</t>
  </si>
  <si>
    <t>Муниципальная программа "Развитие образования в муниципальном образовании Зеленоградский городской округ"</t>
  </si>
  <si>
    <t xml:space="preserve">Муниципальная программа  "Эффективное  муниципальное  управление" 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</si>
  <si>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</si>
  <si>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Осуществление мероприятий по озеленению территории МО "Зеленоградский городской оуруг"</t>
  </si>
  <si>
    <t>0520004010</t>
  </si>
  <si>
    <t>0520004012</t>
  </si>
  <si>
    <t>0520004013</t>
  </si>
  <si>
    <t>0520004014</t>
  </si>
  <si>
    <t>0520004015</t>
  </si>
  <si>
    <t>0520004016</t>
  </si>
  <si>
    <t>0520004017</t>
  </si>
  <si>
    <t>12700,00</t>
  </si>
  <si>
    <t>Приложение №4</t>
  </si>
  <si>
    <t xml:space="preserve">Субсидии на обеспечение мероприятий по организации теплоснабжения  (О.Б.) </t>
  </si>
  <si>
    <t xml:space="preserve">Исполнение безрегресной гарантии </t>
  </si>
  <si>
    <t>0540071310</t>
  </si>
  <si>
    <t xml:space="preserve">Субвенция на оказание несвязаной поддержки сельскохозяйственным товаропроизводителям в области растениводства  </t>
  </si>
  <si>
    <t>06100R541F</t>
  </si>
  <si>
    <t xml:space="preserve">Субвенции на возмещения части процентной стваки по инвестиционным кредиам (займам) в агропромышленном комплексе </t>
  </si>
  <si>
    <t>0610070220</t>
  </si>
  <si>
    <t xml:space="preserve">Субвенции на возмещение части процентной стваки по краткосрочным кредитам (займам) </t>
  </si>
  <si>
    <t>0610070230</t>
  </si>
  <si>
    <t xml:space="preserve">Субвенции на возмещение части затрат на уплату процентов по инвестиционным кредитам (займам) в агропромышленном комплексе </t>
  </si>
  <si>
    <t>06100R4330</t>
  </si>
  <si>
    <t>Выполнение ремонтных работ  на водопропускных объектах  (О.Б.)</t>
  </si>
  <si>
    <t>0540021910</t>
  </si>
  <si>
    <t>Исполнение безрегресных гарантий за счет средств (М.Б.)</t>
  </si>
  <si>
    <t>0540000310</t>
  </si>
  <si>
    <t>0540001020</t>
  </si>
  <si>
    <t>Подпрограмма "Содержание дорожного и коммунального хозяйства"</t>
  </si>
  <si>
    <t>Подпрограмма "Развитие газификации и прочие расходы по жилищно-коммунальному хозяйству"</t>
  </si>
  <si>
    <t>Осуществление мероприятий "Развитие газификации и прочие расходы по жилищно-коммунальному хозяйству"</t>
  </si>
  <si>
    <t>Софинансирование по программе "Создание условий для отдыха и рекреации в муниципальных образованиях Калининградской области" (М.Б.)</t>
  </si>
  <si>
    <t>0520003010</t>
  </si>
  <si>
    <t>05300R099I</t>
  </si>
  <si>
    <t>Создание новых конкурентноспособных секторов экономики (Межпоселковый газопровод высокого давления отг. Калининграда к пос. Переславское, Кумачёво, Зелёный Гай 1-й этап)</t>
  </si>
  <si>
    <t>Софинансирование по мероприятиям реализации программы "Конкретных дел"</t>
  </si>
  <si>
    <t>03600L4970</t>
  </si>
  <si>
    <t>0360000000</t>
  </si>
  <si>
    <t xml:space="preserve">Уточненные назначения </t>
  </si>
  <si>
    <t xml:space="preserve">"О внесениии изменений в решение окружного Совета   депутатов муниципального образования  "Зеленоградский городской округ" от 15 декабря  2017 года №180 "О бюджете муниципального образования "Зеленоградский городской округ" на 2018 год  и  на плановый период  2019 и 2020 годов"                                                                                                                                                                 от  19 декабря 2018 года №268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</si>
</sst>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color indexed="18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b/>
      <i/>
      <sz val="12"/>
      <color rgb="FF2222A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49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2" fontId="3" fillId="2" borderId="1" xfId="0" applyNumberFormat="1" applyFont="1" applyFill="1" applyBorder="1"/>
    <xf numFmtId="2" fontId="2" fillId="0" borderId="1" xfId="0" applyNumberFormat="1" applyFont="1" applyBorder="1"/>
    <xf numFmtId="0" fontId="2" fillId="3" borderId="1" xfId="0" applyFont="1" applyFill="1" applyBorder="1"/>
    <xf numFmtId="49" fontId="2" fillId="3" borderId="1" xfId="0" applyNumberFormat="1" applyFont="1" applyFill="1" applyBorder="1"/>
    <xf numFmtId="2" fontId="2" fillId="3" borderId="1" xfId="0" applyNumberFormat="1" applyFont="1" applyFill="1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49" fontId="7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2" fontId="6" fillId="0" borderId="1" xfId="0" applyNumberFormat="1" applyFont="1" applyBorder="1"/>
    <xf numFmtId="49" fontId="7" fillId="0" borderId="1" xfId="0" applyNumberFormat="1" applyFont="1" applyFill="1" applyBorder="1"/>
    <xf numFmtId="0" fontId="7" fillId="0" borderId="1" xfId="0" applyFont="1" applyFill="1" applyBorder="1"/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6" fillId="0" borderId="1" xfId="0" applyNumberFormat="1" applyFont="1" applyFill="1" applyBorder="1"/>
    <xf numFmtId="0" fontId="6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3" fillId="0" borderId="1" xfId="0" applyFont="1" applyBorder="1"/>
    <xf numFmtId="49" fontId="3" fillId="0" borderId="1" xfId="0" applyNumberFormat="1" applyFont="1" applyBorder="1"/>
    <xf numFmtId="0" fontId="8" fillId="0" borderId="1" xfId="0" applyFont="1" applyBorder="1" applyAlignment="1">
      <alignment wrapText="1"/>
    </xf>
    <xf numFmtId="49" fontId="8" fillId="0" borderId="1" xfId="0" applyNumberFormat="1" applyFont="1" applyBorder="1"/>
    <xf numFmtId="0" fontId="8" fillId="0" borderId="1" xfId="0" applyFont="1" applyBorder="1"/>
    <xf numFmtId="0" fontId="9" fillId="0" borderId="1" xfId="0" applyFont="1" applyBorder="1" applyAlignment="1">
      <alignment wrapText="1"/>
    </xf>
    <xf numFmtId="49" fontId="9" fillId="0" borderId="1" xfId="0" applyNumberFormat="1" applyFont="1" applyBorder="1"/>
    <xf numFmtId="0" fontId="9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Border="1"/>
    <xf numFmtId="0" fontId="6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right"/>
    </xf>
    <xf numFmtId="49" fontId="3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Border="1"/>
    <xf numFmtId="0" fontId="3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49" fontId="2" fillId="4" borderId="1" xfId="0" applyNumberFormat="1" applyFont="1" applyFill="1" applyBorder="1"/>
    <xf numFmtId="0" fontId="2" fillId="4" borderId="1" xfId="0" applyFont="1" applyFill="1" applyBorder="1"/>
    <xf numFmtId="0" fontId="3" fillId="0" borderId="2" xfId="0" applyFont="1" applyFill="1" applyBorder="1" applyAlignment="1">
      <alignment vertical="center" wrapText="1"/>
    </xf>
    <xf numFmtId="2" fontId="4" fillId="0" borderId="1" xfId="0" applyNumberFormat="1" applyFont="1" applyBorder="1"/>
    <xf numFmtId="2" fontId="9" fillId="0" borderId="1" xfId="0" applyNumberFormat="1" applyFont="1" applyBorder="1"/>
    <xf numFmtId="2" fontId="8" fillId="0" borderId="1" xfId="0" applyNumberFormat="1" applyFont="1" applyBorder="1"/>
    <xf numFmtId="2" fontId="7" fillId="0" borderId="1" xfId="0" applyNumberFormat="1" applyFont="1" applyBorder="1" applyAlignment="1">
      <alignment horizontal="right"/>
    </xf>
    <xf numFmtId="2" fontId="7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/>
    <xf numFmtId="2" fontId="6" fillId="0" borderId="1" xfId="0" applyNumberFormat="1" applyFont="1" applyFill="1" applyBorder="1"/>
    <xf numFmtId="2" fontId="3" fillId="4" borderId="1" xfId="0" applyNumberFormat="1" applyFont="1" applyFill="1" applyBorder="1"/>
    <xf numFmtId="2" fontId="2" fillId="4" borderId="1" xfId="0" applyNumberFormat="1" applyFont="1" applyFill="1" applyBorder="1"/>
    <xf numFmtId="0" fontId="5" fillId="0" borderId="0" xfId="0" applyFont="1"/>
    <xf numFmtId="0" fontId="10" fillId="0" borderId="1" xfId="0" applyFont="1" applyBorder="1" applyAlignment="1">
      <alignment wrapText="1"/>
    </xf>
    <xf numFmtId="49" fontId="10" fillId="0" borderId="1" xfId="0" applyNumberFormat="1" applyFont="1" applyBorder="1"/>
    <xf numFmtId="49" fontId="10" fillId="0" borderId="1" xfId="0" applyNumberFormat="1" applyFont="1" applyBorder="1" applyAlignment="1">
      <alignment horizontal="right"/>
    </xf>
    <xf numFmtId="0" fontId="3" fillId="5" borderId="1" xfId="0" applyFont="1" applyFill="1" applyBorder="1" applyAlignment="1">
      <alignment wrapText="1"/>
    </xf>
    <xf numFmtId="49" fontId="3" fillId="5" borderId="1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1" fillId="0" borderId="0" xfId="0" applyFont="1" applyAlignment="1">
      <alignment horizontal="right"/>
    </xf>
    <xf numFmtId="11" fontId="0" fillId="0" borderId="0" xfId="0" applyNumberForma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5" fillId="0" borderId="0" xfId="0" applyNumberFormat="1" applyFont="1" applyAlignment="1">
      <alignment horizontal="righ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6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7"/>
  <sheetViews>
    <sheetView tabSelected="1" topLeftCell="A358" zoomScale="84" zoomScaleNormal="84" workbookViewId="0">
      <selection sqref="A1:K377"/>
    </sheetView>
  </sheetViews>
  <sheetFormatPr defaultRowHeight="12.75" x14ac:dyDescent="0.2"/>
  <cols>
    <col min="1" max="1" width="52" customWidth="1"/>
    <col min="2" max="2" width="18.42578125" style="1" customWidth="1"/>
    <col min="3" max="3" width="11.5703125" style="1" customWidth="1"/>
    <col min="4" max="4" width="12.7109375" hidden="1" customWidth="1"/>
    <col min="5" max="5" width="4.5703125" hidden="1" customWidth="1"/>
    <col min="6" max="6" width="6.85546875" hidden="1" customWidth="1"/>
    <col min="7" max="7" width="6" hidden="1" customWidth="1"/>
    <col min="8" max="8" width="6.42578125" hidden="1" customWidth="1"/>
    <col min="9" max="9" width="11.85546875" hidden="1" customWidth="1"/>
    <col min="10" max="10" width="14.85546875" hidden="1" customWidth="1"/>
    <col min="11" max="11" width="17.42578125" customWidth="1"/>
  </cols>
  <sheetData>
    <row r="1" spans="1:11" ht="20.25" customHeight="1" x14ac:dyDescent="0.2">
      <c r="C1" s="84" t="s">
        <v>350</v>
      </c>
      <c r="D1" s="81"/>
      <c r="E1" s="81"/>
      <c r="F1" s="81"/>
      <c r="G1" s="81"/>
      <c r="H1" s="81"/>
      <c r="I1" s="81"/>
      <c r="J1" s="81"/>
      <c r="K1" s="81"/>
    </row>
    <row r="2" spans="1:11" ht="24" customHeight="1" x14ac:dyDescent="0.2">
      <c r="C2" s="83" t="s">
        <v>288</v>
      </c>
      <c r="D2" s="81"/>
      <c r="E2" s="81"/>
      <c r="F2" s="81"/>
      <c r="G2" s="81"/>
      <c r="H2" s="81"/>
      <c r="I2" s="81"/>
      <c r="J2" s="81"/>
      <c r="K2" s="81"/>
    </row>
    <row r="3" spans="1:11" ht="18" customHeight="1" x14ac:dyDescent="0.2">
      <c r="B3" s="82" t="s">
        <v>334</v>
      </c>
      <c r="C3" s="81"/>
      <c r="D3" s="81"/>
      <c r="E3" s="81"/>
      <c r="F3" s="81"/>
      <c r="G3" s="81"/>
      <c r="H3" s="81"/>
      <c r="I3" s="81"/>
      <c r="J3" s="81"/>
      <c r="K3" s="81"/>
    </row>
    <row r="4" spans="1:11" ht="0.75" customHeight="1" x14ac:dyDescent="0.2">
      <c r="B4" s="80" t="s">
        <v>378</v>
      </c>
      <c r="C4" s="80"/>
      <c r="D4" s="80"/>
      <c r="E4" s="80"/>
      <c r="F4" s="80"/>
      <c r="G4" s="81"/>
      <c r="H4" s="81"/>
      <c r="I4" s="81"/>
      <c r="J4" s="81"/>
      <c r="K4" s="81"/>
    </row>
    <row r="5" spans="1:11" ht="1.5" customHeight="1" x14ac:dyDescent="0.2">
      <c r="B5" s="80"/>
      <c r="C5" s="80"/>
      <c r="D5" s="80"/>
      <c r="E5" s="80"/>
      <c r="F5" s="80"/>
      <c r="G5" s="81"/>
      <c r="H5" s="81"/>
      <c r="I5" s="81"/>
      <c r="J5" s="81"/>
      <c r="K5" s="81"/>
    </row>
    <row r="6" spans="1:11" ht="4.5" customHeight="1" x14ac:dyDescent="0.2">
      <c r="B6" s="80"/>
      <c r="C6" s="80"/>
      <c r="D6" s="80"/>
      <c r="E6" s="80"/>
      <c r="F6" s="80"/>
      <c r="G6" s="81"/>
      <c r="H6" s="81"/>
      <c r="I6" s="81"/>
      <c r="J6" s="81"/>
      <c r="K6" s="81"/>
    </row>
    <row r="7" spans="1:11" ht="105.75" customHeight="1" x14ac:dyDescent="0.2">
      <c r="B7" s="80"/>
      <c r="C7" s="80"/>
      <c r="D7" s="80"/>
      <c r="E7" s="80"/>
      <c r="F7" s="80"/>
      <c r="G7" s="81"/>
      <c r="H7" s="81"/>
      <c r="I7" s="81"/>
      <c r="J7" s="81"/>
      <c r="K7" s="81"/>
    </row>
    <row r="8" spans="1:11" ht="4.5" customHeight="1" x14ac:dyDescent="0.2"/>
    <row r="9" spans="1:11" x14ac:dyDescent="0.2">
      <c r="A9" s="91" t="s">
        <v>328</v>
      </c>
      <c r="B9" s="91"/>
      <c r="C9" s="91"/>
      <c r="D9" s="91"/>
      <c r="E9" s="81"/>
      <c r="F9" s="81"/>
      <c r="G9" s="81"/>
      <c r="H9" s="81"/>
      <c r="I9" s="81"/>
      <c r="J9" s="81"/>
      <c r="K9" s="81"/>
    </row>
    <row r="10" spans="1:11" x14ac:dyDescent="0.2">
      <c r="A10" s="90" t="s">
        <v>12</v>
      </c>
      <c r="B10" s="90"/>
      <c r="C10" s="90"/>
      <c r="D10" s="90"/>
      <c r="E10" s="81"/>
      <c r="F10" s="81"/>
      <c r="G10" s="81"/>
      <c r="H10" s="81"/>
      <c r="I10" s="81"/>
      <c r="J10" s="81"/>
      <c r="K10" s="81"/>
    </row>
    <row r="11" spans="1:11" ht="12" customHeight="1" x14ac:dyDescent="0.2">
      <c r="A11" s="90" t="s">
        <v>334</v>
      </c>
      <c r="B11" s="90"/>
      <c r="C11" s="90"/>
      <c r="D11" s="90"/>
      <c r="E11" s="81"/>
      <c r="F11" s="81"/>
      <c r="G11" s="81"/>
      <c r="H11" s="81"/>
      <c r="I11" s="81"/>
      <c r="J11" s="81"/>
      <c r="K11" s="81"/>
    </row>
    <row r="12" spans="1:11" ht="39" customHeight="1" x14ac:dyDescent="0.2">
      <c r="B12" s="82" t="s">
        <v>327</v>
      </c>
      <c r="C12" s="90"/>
      <c r="D12" s="90"/>
      <c r="E12" s="90"/>
      <c r="F12" s="90"/>
      <c r="G12" s="90"/>
      <c r="H12" s="90"/>
      <c r="I12" s="90"/>
      <c r="J12" s="90"/>
      <c r="K12" s="90"/>
    </row>
    <row r="13" spans="1:11" x14ac:dyDescent="0.2">
      <c r="B13" s="82" t="s">
        <v>326</v>
      </c>
      <c r="C13" s="90"/>
      <c r="D13" s="90"/>
      <c r="E13" s="81"/>
      <c r="F13" s="81"/>
      <c r="G13" s="81"/>
      <c r="H13" s="81"/>
      <c r="I13" s="81"/>
      <c r="J13" s="81"/>
      <c r="K13" s="81"/>
    </row>
    <row r="14" spans="1:11" x14ac:dyDescent="0.2"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54" customHeight="1" x14ac:dyDescent="0.2">
      <c r="A15" s="87" t="s">
        <v>244</v>
      </c>
      <c r="B15" s="88"/>
      <c r="C15" s="88"/>
      <c r="D15" s="88"/>
      <c r="E15" s="81"/>
      <c r="F15" s="81"/>
      <c r="G15" s="81"/>
      <c r="H15" s="81"/>
      <c r="I15" s="81"/>
      <c r="J15" s="81"/>
      <c r="K15" s="81"/>
    </row>
    <row r="16" spans="1:11" ht="20.25" customHeight="1" x14ac:dyDescent="0.2">
      <c r="C16" s="89"/>
      <c r="D16" s="89"/>
      <c r="K16" s="79" t="s">
        <v>27</v>
      </c>
    </row>
    <row r="17" spans="1:11" ht="15.75" customHeight="1" x14ac:dyDescent="0.25">
      <c r="A17" s="92" t="s">
        <v>0</v>
      </c>
      <c r="B17" s="93" t="s">
        <v>25</v>
      </c>
      <c r="C17" s="93" t="s">
        <v>26</v>
      </c>
      <c r="D17" s="53" t="s">
        <v>1</v>
      </c>
      <c r="E17" s="53" t="s">
        <v>245</v>
      </c>
      <c r="F17" s="53" t="s">
        <v>296</v>
      </c>
      <c r="G17" s="85" t="s">
        <v>297</v>
      </c>
      <c r="H17" s="85" t="s">
        <v>298</v>
      </c>
      <c r="I17" s="85" t="s">
        <v>299</v>
      </c>
      <c r="J17" s="85" t="s">
        <v>300</v>
      </c>
      <c r="K17" s="85" t="s">
        <v>377</v>
      </c>
    </row>
    <row r="18" spans="1:11" ht="34.5" customHeight="1" x14ac:dyDescent="0.25">
      <c r="A18" s="92"/>
      <c r="B18" s="94"/>
      <c r="C18" s="94"/>
      <c r="D18" s="53" t="s">
        <v>219</v>
      </c>
      <c r="E18" s="53" t="s">
        <v>219</v>
      </c>
      <c r="F18" s="53"/>
      <c r="G18" s="86"/>
      <c r="H18" s="86"/>
      <c r="I18" s="86"/>
      <c r="J18" s="86"/>
      <c r="K18" s="86"/>
    </row>
    <row r="19" spans="1:11" ht="31.5" x14ac:dyDescent="0.25">
      <c r="A19" s="5" t="s">
        <v>339</v>
      </c>
      <c r="B19" s="7" t="s">
        <v>99</v>
      </c>
      <c r="C19" s="7"/>
      <c r="D19" s="6">
        <f>D20+D23+D28+D40</f>
        <v>87344.1</v>
      </c>
      <c r="E19" s="6">
        <f>E20+E23+E28+E40</f>
        <v>1468</v>
      </c>
      <c r="F19" s="15">
        <f>F20+F23+F28+F40+F43</f>
        <v>88912.1</v>
      </c>
      <c r="G19" s="15">
        <f>G20+G23+G28+G40+G43</f>
        <v>2094.8200000000002</v>
      </c>
      <c r="H19" s="15">
        <f t="shared" ref="H19:J19" si="0">H20+H23+H28+H40+H43</f>
        <v>0</v>
      </c>
      <c r="I19" s="15">
        <f>I20+I23+I28+I40+I43</f>
        <v>1248.6999999999998</v>
      </c>
      <c r="J19" s="15">
        <f t="shared" si="0"/>
        <v>92255.62000000001</v>
      </c>
      <c r="K19" s="15">
        <f t="shared" ref="K19" si="1">K20+K23+K28+K40+K43</f>
        <v>97165.69</v>
      </c>
    </row>
    <row r="20" spans="1:11" ht="66" customHeight="1" x14ac:dyDescent="0.25">
      <c r="A20" s="21" t="s">
        <v>203</v>
      </c>
      <c r="B20" s="22" t="s">
        <v>100</v>
      </c>
      <c r="C20" s="22"/>
      <c r="D20" s="23">
        <f t="shared" ref="D20:K21" si="2">D21</f>
        <v>1620</v>
      </c>
      <c r="E20" s="23">
        <f t="shared" si="2"/>
        <v>0</v>
      </c>
      <c r="F20" s="28">
        <f t="shared" si="2"/>
        <v>1620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1620</v>
      </c>
      <c r="K20" s="28">
        <f t="shared" si="2"/>
        <v>1620</v>
      </c>
    </row>
    <row r="21" spans="1:11" ht="33.75" customHeight="1" x14ac:dyDescent="0.25">
      <c r="A21" s="10" t="s">
        <v>101</v>
      </c>
      <c r="B21" s="11" t="s">
        <v>100</v>
      </c>
      <c r="C21" s="11"/>
      <c r="D21" s="4">
        <f t="shared" si="2"/>
        <v>1620</v>
      </c>
      <c r="E21" s="4">
        <f t="shared" si="2"/>
        <v>0</v>
      </c>
      <c r="F21" s="16">
        <f t="shared" si="2"/>
        <v>1620</v>
      </c>
      <c r="G21" s="16">
        <f>G22</f>
        <v>0</v>
      </c>
      <c r="H21" s="16">
        <f t="shared" si="2"/>
        <v>0</v>
      </c>
      <c r="I21" s="16">
        <f t="shared" si="2"/>
        <v>0</v>
      </c>
      <c r="J21" s="16">
        <f t="shared" si="2"/>
        <v>1620</v>
      </c>
      <c r="K21" s="16">
        <f t="shared" si="2"/>
        <v>1620</v>
      </c>
    </row>
    <row r="22" spans="1:11" ht="81.75" customHeight="1" x14ac:dyDescent="0.25">
      <c r="A22" s="10" t="s">
        <v>33</v>
      </c>
      <c r="B22" s="11" t="s">
        <v>100</v>
      </c>
      <c r="C22" s="11" t="s">
        <v>34</v>
      </c>
      <c r="D22" s="4">
        <v>1620</v>
      </c>
      <c r="E22" s="4"/>
      <c r="F22" s="16">
        <f>D22+E22</f>
        <v>1620</v>
      </c>
      <c r="G22" s="16"/>
      <c r="H22" s="16"/>
      <c r="I22" s="16"/>
      <c r="J22" s="16">
        <f>F22+G22+H22+I22</f>
        <v>1620</v>
      </c>
      <c r="K22" s="16">
        <v>1620</v>
      </c>
    </row>
    <row r="23" spans="1:11" ht="49.5" customHeight="1" x14ac:dyDescent="0.25">
      <c r="A23" s="21" t="s">
        <v>102</v>
      </c>
      <c r="B23" s="22" t="s">
        <v>104</v>
      </c>
      <c r="C23" s="22"/>
      <c r="D23" s="23">
        <f t="shared" ref="D23:K23" si="3">D24</f>
        <v>55770.1</v>
      </c>
      <c r="E23" s="23">
        <f t="shared" si="3"/>
        <v>0</v>
      </c>
      <c r="F23" s="28">
        <f>F24</f>
        <v>55770.1</v>
      </c>
      <c r="G23" s="28">
        <f t="shared" si="3"/>
        <v>1555.19</v>
      </c>
      <c r="H23" s="28">
        <f t="shared" si="3"/>
        <v>0</v>
      </c>
      <c r="I23" s="28">
        <f>I24</f>
        <v>422.81999999999994</v>
      </c>
      <c r="J23" s="28">
        <f t="shared" si="3"/>
        <v>57748.11</v>
      </c>
      <c r="K23" s="28">
        <f t="shared" si="3"/>
        <v>60110.42</v>
      </c>
    </row>
    <row r="24" spans="1:11" ht="36" customHeight="1" x14ac:dyDescent="0.25">
      <c r="A24" s="10" t="s">
        <v>103</v>
      </c>
      <c r="B24" s="11" t="s">
        <v>104</v>
      </c>
      <c r="C24" s="11"/>
      <c r="D24" s="4">
        <f>D25+D27</f>
        <v>55770.1</v>
      </c>
      <c r="E24" s="4">
        <f>E25+E27</f>
        <v>0</v>
      </c>
      <c r="F24" s="16">
        <f>F25+F26+F27</f>
        <v>55770.1</v>
      </c>
      <c r="G24" s="16">
        <f t="shared" ref="G24:J24" si="4">G25+G26+G27</f>
        <v>1555.19</v>
      </c>
      <c r="H24" s="16">
        <f t="shared" si="4"/>
        <v>0</v>
      </c>
      <c r="I24" s="16">
        <f>I25+I26+I27</f>
        <v>422.81999999999994</v>
      </c>
      <c r="J24" s="16">
        <f t="shared" si="4"/>
        <v>57748.11</v>
      </c>
      <c r="K24" s="16">
        <f t="shared" ref="K24" si="5">K25+K26+K27</f>
        <v>60110.42</v>
      </c>
    </row>
    <row r="25" spans="1:11" ht="80.25" customHeight="1" x14ac:dyDescent="0.25">
      <c r="A25" s="10" t="s">
        <v>33</v>
      </c>
      <c r="B25" s="11" t="s">
        <v>104</v>
      </c>
      <c r="C25" s="11" t="s">
        <v>34</v>
      </c>
      <c r="D25" s="4">
        <v>50530.13</v>
      </c>
      <c r="E25" s="4"/>
      <c r="F25" s="16">
        <f>D25+E25</f>
        <v>50530.13</v>
      </c>
      <c r="G25" s="16"/>
      <c r="H25" s="16"/>
      <c r="I25" s="16">
        <v>-150</v>
      </c>
      <c r="J25" s="16">
        <f>F25+I25</f>
        <v>50380.13</v>
      </c>
      <c r="K25" s="16">
        <v>49736.7</v>
      </c>
    </row>
    <row r="26" spans="1:11" ht="30.75" customHeight="1" x14ac:dyDescent="0.25">
      <c r="A26" s="10" t="s">
        <v>35</v>
      </c>
      <c r="B26" s="11" t="s">
        <v>104</v>
      </c>
      <c r="C26" s="11" t="s">
        <v>36</v>
      </c>
      <c r="D26" s="4">
        <v>5239.97</v>
      </c>
      <c r="E26" s="4"/>
      <c r="F26" s="16">
        <f>D26+E26</f>
        <v>5239.97</v>
      </c>
      <c r="G26" s="16">
        <v>1555.19</v>
      </c>
      <c r="H26" s="16"/>
      <c r="I26" s="16">
        <v>-134.47</v>
      </c>
      <c r="J26" s="16">
        <f>F26+G26+I26</f>
        <v>6660.69</v>
      </c>
      <c r="K26" s="16">
        <v>9647.14</v>
      </c>
    </row>
    <row r="27" spans="1:11" ht="18.75" customHeight="1" x14ac:dyDescent="0.25">
      <c r="A27" s="10" t="s">
        <v>250</v>
      </c>
      <c r="B27" s="11" t="s">
        <v>104</v>
      </c>
      <c r="C27" s="11" t="s">
        <v>54</v>
      </c>
      <c r="D27" s="4">
        <v>5239.97</v>
      </c>
      <c r="E27" s="4"/>
      <c r="F27" s="16"/>
      <c r="G27" s="16"/>
      <c r="H27" s="16"/>
      <c r="I27" s="16">
        <v>707.29</v>
      </c>
      <c r="J27" s="16">
        <f>F27+G27+I27</f>
        <v>707.29</v>
      </c>
      <c r="K27" s="16">
        <v>726.58</v>
      </c>
    </row>
    <row r="28" spans="1:11" ht="48" customHeight="1" x14ac:dyDescent="0.25">
      <c r="A28" s="21" t="s">
        <v>325</v>
      </c>
      <c r="B28" s="22" t="s">
        <v>105</v>
      </c>
      <c r="C28" s="22"/>
      <c r="D28" s="23">
        <f t="shared" ref="D28:J28" si="6">D29+D33</f>
        <v>29954</v>
      </c>
      <c r="E28" s="23">
        <f t="shared" si="6"/>
        <v>1468</v>
      </c>
      <c r="F28" s="28">
        <f t="shared" si="6"/>
        <v>31422</v>
      </c>
      <c r="G28" s="28">
        <f t="shared" si="6"/>
        <v>0</v>
      </c>
      <c r="H28" s="28">
        <f t="shared" si="6"/>
        <v>0</v>
      </c>
      <c r="I28" s="28">
        <f>I29+I33</f>
        <v>725.93999999999994</v>
      </c>
      <c r="J28" s="28">
        <f t="shared" si="6"/>
        <v>32147.94</v>
      </c>
      <c r="K28" s="28">
        <f t="shared" ref="K28" si="7">K29+K33</f>
        <v>32139.74</v>
      </c>
    </row>
    <row r="29" spans="1:11" ht="47.25" customHeight="1" x14ac:dyDescent="0.25">
      <c r="A29" s="21" t="s">
        <v>236</v>
      </c>
      <c r="B29" s="22" t="s">
        <v>225</v>
      </c>
      <c r="C29" s="22"/>
      <c r="D29" s="23">
        <f t="shared" ref="D29:J29" si="8">D30+D31+D32</f>
        <v>20178</v>
      </c>
      <c r="E29" s="23">
        <f t="shared" si="8"/>
        <v>0</v>
      </c>
      <c r="F29" s="28">
        <f t="shared" si="8"/>
        <v>20178</v>
      </c>
      <c r="G29" s="28">
        <f t="shared" si="8"/>
        <v>0</v>
      </c>
      <c r="H29" s="28">
        <f t="shared" si="8"/>
        <v>0</v>
      </c>
      <c r="I29" s="28">
        <f>I30+I31+I32</f>
        <v>725.93999999999994</v>
      </c>
      <c r="J29" s="28">
        <f t="shared" si="8"/>
        <v>20903.939999999999</v>
      </c>
      <c r="K29" s="28">
        <f t="shared" ref="K29" si="9">K30+K31+K32</f>
        <v>20895.740000000002</v>
      </c>
    </row>
    <row r="30" spans="1:11" ht="87" customHeight="1" x14ac:dyDescent="0.25">
      <c r="A30" s="10" t="s">
        <v>33</v>
      </c>
      <c r="B30" s="11" t="s">
        <v>225</v>
      </c>
      <c r="C30" s="11" t="s">
        <v>34</v>
      </c>
      <c r="D30" s="4">
        <v>15585.2</v>
      </c>
      <c r="E30" s="4"/>
      <c r="F30" s="16">
        <f>D30+E30</f>
        <v>15585.2</v>
      </c>
      <c r="G30" s="16"/>
      <c r="H30" s="16"/>
      <c r="I30" s="16">
        <f>-109.65+199.02</f>
        <v>89.37</v>
      </c>
      <c r="J30" s="16">
        <f>F30+I30</f>
        <v>15674.570000000002</v>
      </c>
      <c r="K30" s="16">
        <v>16330.52</v>
      </c>
    </row>
    <row r="31" spans="1:11" ht="31.5" customHeight="1" x14ac:dyDescent="0.25">
      <c r="A31" s="10" t="s">
        <v>35</v>
      </c>
      <c r="B31" s="11" t="s">
        <v>225</v>
      </c>
      <c r="C31" s="11" t="s">
        <v>36</v>
      </c>
      <c r="D31" s="4">
        <v>4555.8</v>
      </c>
      <c r="E31" s="4"/>
      <c r="F31" s="16">
        <f>D31+E31</f>
        <v>4555.8</v>
      </c>
      <c r="G31" s="16"/>
      <c r="H31" s="16"/>
      <c r="I31" s="16">
        <f>169.43+488.38</f>
        <v>657.81</v>
      </c>
      <c r="J31" s="16">
        <f t="shared" ref="J31:J32" si="10">F31+I31</f>
        <v>5213.6100000000006</v>
      </c>
      <c r="K31" s="16">
        <v>4543.22</v>
      </c>
    </row>
    <row r="32" spans="1:11" ht="20.25" customHeight="1" x14ac:dyDescent="0.25">
      <c r="A32" s="10" t="s">
        <v>314</v>
      </c>
      <c r="B32" s="11" t="s">
        <v>225</v>
      </c>
      <c r="C32" s="11" t="s">
        <v>54</v>
      </c>
      <c r="D32" s="4">
        <v>37</v>
      </c>
      <c r="E32" s="4"/>
      <c r="F32" s="16">
        <f>D32+E32</f>
        <v>37</v>
      </c>
      <c r="G32" s="16"/>
      <c r="H32" s="16"/>
      <c r="I32" s="16">
        <v>-21.24</v>
      </c>
      <c r="J32" s="16">
        <f t="shared" si="10"/>
        <v>15.760000000000002</v>
      </c>
      <c r="K32" s="16">
        <v>22</v>
      </c>
    </row>
    <row r="33" spans="1:11" ht="32.25" customHeight="1" x14ac:dyDescent="0.25">
      <c r="A33" s="21" t="s">
        <v>160</v>
      </c>
      <c r="B33" s="22" t="s">
        <v>105</v>
      </c>
      <c r="C33" s="22"/>
      <c r="D33" s="23">
        <f t="shared" ref="D33:I33" si="11">D34+D38</f>
        <v>9776</v>
      </c>
      <c r="E33" s="23">
        <f t="shared" si="11"/>
        <v>1468</v>
      </c>
      <c r="F33" s="28">
        <f t="shared" si="11"/>
        <v>11244</v>
      </c>
      <c r="G33" s="28">
        <f t="shared" si="11"/>
        <v>0</v>
      </c>
      <c r="H33" s="28">
        <f t="shared" si="11"/>
        <v>0</v>
      </c>
      <c r="I33" s="28">
        <f t="shared" si="11"/>
        <v>0</v>
      </c>
      <c r="J33" s="28">
        <f>J34+J38</f>
        <v>11244</v>
      </c>
      <c r="K33" s="28">
        <f>K34+K38</f>
        <v>11244</v>
      </c>
    </row>
    <row r="34" spans="1:11" ht="35.25" customHeight="1" x14ac:dyDescent="0.25">
      <c r="A34" s="44" t="s">
        <v>159</v>
      </c>
      <c r="B34" s="37" t="s">
        <v>105</v>
      </c>
      <c r="C34" s="37"/>
      <c r="D34" s="36">
        <f t="shared" ref="D34:E34" si="12">D35+D37</f>
        <v>6000</v>
      </c>
      <c r="E34" s="36">
        <f t="shared" si="12"/>
        <v>1487</v>
      </c>
      <c r="F34" s="46">
        <f>F35+F36+F37</f>
        <v>7487</v>
      </c>
      <c r="G34" s="46">
        <f t="shared" ref="G34:J34" si="13">G35+G36+G37</f>
        <v>0</v>
      </c>
      <c r="H34" s="46">
        <f t="shared" si="13"/>
        <v>0</v>
      </c>
      <c r="I34" s="46">
        <f>I35+I36+I37</f>
        <v>0</v>
      </c>
      <c r="J34" s="46">
        <f t="shared" si="13"/>
        <v>7487</v>
      </c>
      <c r="K34" s="46">
        <f t="shared" ref="K34" si="14">K35+K36+K37</f>
        <v>7487</v>
      </c>
    </row>
    <row r="35" spans="1:11" ht="81.75" customHeight="1" x14ac:dyDescent="0.25">
      <c r="A35" s="10" t="s">
        <v>33</v>
      </c>
      <c r="B35" s="11" t="s">
        <v>105</v>
      </c>
      <c r="C35" s="11" t="s">
        <v>34</v>
      </c>
      <c r="D35" s="4">
        <v>5800</v>
      </c>
      <c r="E35" s="4"/>
      <c r="F35" s="16">
        <f>D35+E35</f>
        <v>5800</v>
      </c>
      <c r="G35" s="16"/>
      <c r="H35" s="16"/>
      <c r="I35" s="16">
        <v>-451.79</v>
      </c>
      <c r="J35" s="16">
        <f>F35+I35</f>
        <v>5348.21</v>
      </c>
      <c r="K35" s="16">
        <v>5628.56</v>
      </c>
    </row>
    <row r="36" spans="1:11" ht="29.25" customHeight="1" x14ac:dyDescent="0.25">
      <c r="A36" s="10" t="s">
        <v>35</v>
      </c>
      <c r="B36" s="11" t="s">
        <v>105</v>
      </c>
      <c r="C36" s="11" t="s">
        <v>36</v>
      </c>
      <c r="D36" s="4">
        <v>200</v>
      </c>
      <c r="E36" s="4">
        <v>1487</v>
      </c>
      <c r="F36" s="16">
        <f>D36+E36</f>
        <v>1687</v>
      </c>
      <c r="G36" s="16"/>
      <c r="H36" s="16"/>
      <c r="I36" s="16">
        <v>430.79</v>
      </c>
      <c r="J36" s="16">
        <f t="shared" ref="J36:J37" si="15">F36+I36</f>
        <v>2117.79</v>
      </c>
      <c r="K36" s="16">
        <v>1836.44</v>
      </c>
    </row>
    <row r="37" spans="1:11" ht="21" customHeight="1" x14ac:dyDescent="0.25">
      <c r="A37" s="10" t="s">
        <v>314</v>
      </c>
      <c r="B37" s="11" t="s">
        <v>105</v>
      </c>
      <c r="C37" s="11" t="s">
        <v>54</v>
      </c>
      <c r="D37" s="4">
        <v>200</v>
      </c>
      <c r="E37" s="4">
        <v>1487</v>
      </c>
      <c r="F37" s="16">
        <v>0</v>
      </c>
      <c r="G37" s="16"/>
      <c r="H37" s="16"/>
      <c r="I37" s="16">
        <v>21</v>
      </c>
      <c r="J37" s="16">
        <f t="shared" si="15"/>
        <v>21</v>
      </c>
      <c r="K37" s="16">
        <v>22</v>
      </c>
    </row>
    <row r="38" spans="1:11" ht="66.75" customHeight="1" x14ac:dyDescent="0.25">
      <c r="A38" s="44" t="s">
        <v>229</v>
      </c>
      <c r="B38" s="37" t="s">
        <v>230</v>
      </c>
      <c r="C38" s="37"/>
      <c r="D38" s="36">
        <f t="shared" ref="D38:K38" si="16">D39</f>
        <v>3776</v>
      </c>
      <c r="E38" s="36">
        <f t="shared" si="16"/>
        <v>-19</v>
      </c>
      <c r="F38" s="46">
        <f t="shared" si="16"/>
        <v>3757</v>
      </c>
      <c r="G38" s="46">
        <f t="shared" si="16"/>
        <v>0</v>
      </c>
      <c r="H38" s="46">
        <f t="shared" si="16"/>
        <v>0</v>
      </c>
      <c r="I38" s="46">
        <f>I39</f>
        <v>0</v>
      </c>
      <c r="J38" s="46">
        <f t="shared" si="16"/>
        <v>3757</v>
      </c>
      <c r="K38" s="46">
        <f t="shared" si="16"/>
        <v>3757</v>
      </c>
    </row>
    <row r="39" spans="1:11" ht="76.5" customHeight="1" x14ac:dyDescent="0.25">
      <c r="A39" s="10" t="s">
        <v>33</v>
      </c>
      <c r="B39" s="11" t="s">
        <v>231</v>
      </c>
      <c r="C39" s="11" t="s">
        <v>34</v>
      </c>
      <c r="D39" s="4">
        <v>3776</v>
      </c>
      <c r="E39" s="4">
        <v>-19</v>
      </c>
      <c r="F39" s="16">
        <f>D39+E39</f>
        <v>3757</v>
      </c>
      <c r="G39" s="16"/>
      <c r="H39" s="16"/>
      <c r="I39" s="16"/>
      <c r="J39" s="16">
        <f>F39+H39</f>
        <v>3757</v>
      </c>
      <c r="K39" s="16">
        <v>3757</v>
      </c>
    </row>
    <row r="40" spans="1:11" ht="47.25" customHeight="1" x14ac:dyDescent="0.25">
      <c r="A40" s="21" t="s">
        <v>106</v>
      </c>
      <c r="B40" s="22" t="s">
        <v>107</v>
      </c>
      <c r="C40" s="22"/>
      <c r="D40" s="23">
        <f t="shared" ref="D40:K40" si="17">D41</f>
        <v>0</v>
      </c>
      <c r="E40" s="23">
        <f t="shared" si="17"/>
        <v>0</v>
      </c>
      <c r="F40" s="28">
        <f t="shared" si="17"/>
        <v>100</v>
      </c>
      <c r="G40" s="28">
        <f t="shared" si="17"/>
        <v>0</v>
      </c>
      <c r="H40" s="28">
        <f t="shared" si="17"/>
        <v>0</v>
      </c>
      <c r="I40" s="28">
        <f>I41</f>
        <v>0</v>
      </c>
      <c r="J40" s="28">
        <f t="shared" si="17"/>
        <v>100</v>
      </c>
      <c r="K40" s="28">
        <f t="shared" si="17"/>
        <v>100</v>
      </c>
    </row>
    <row r="41" spans="1:11" ht="47.25" customHeight="1" x14ac:dyDescent="0.25">
      <c r="A41" s="10" t="s">
        <v>9</v>
      </c>
      <c r="B41" s="11" t="s">
        <v>107</v>
      </c>
      <c r="C41" s="11"/>
      <c r="D41" s="4">
        <f>D44</f>
        <v>0</v>
      </c>
      <c r="E41" s="4">
        <f>E44</f>
        <v>0</v>
      </c>
      <c r="F41" s="16">
        <f>F42</f>
        <v>100</v>
      </c>
      <c r="G41" s="16"/>
      <c r="H41" s="16"/>
      <c r="I41" s="16"/>
      <c r="J41" s="16">
        <f>J42</f>
        <v>100</v>
      </c>
      <c r="K41" s="16">
        <f>K42</f>
        <v>100</v>
      </c>
    </row>
    <row r="42" spans="1:11" ht="35.450000000000003" customHeight="1" x14ac:dyDescent="0.25">
      <c r="A42" s="10" t="s">
        <v>35</v>
      </c>
      <c r="B42" s="11" t="s">
        <v>107</v>
      </c>
      <c r="C42" s="11" t="s">
        <v>36</v>
      </c>
      <c r="D42" s="4">
        <v>100</v>
      </c>
      <c r="E42" s="4"/>
      <c r="F42" s="16">
        <f>D42+E42</f>
        <v>100</v>
      </c>
      <c r="G42" s="16"/>
      <c r="H42" s="16"/>
      <c r="I42" s="16"/>
      <c r="J42" s="16">
        <f>F42+I42</f>
        <v>100</v>
      </c>
      <c r="K42" s="16">
        <v>100</v>
      </c>
    </row>
    <row r="43" spans="1:11" s="71" customFormat="1" ht="21.75" customHeight="1" x14ac:dyDescent="0.25">
      <c r="A43" s="44" t="s">
        <v>302</v>
      </c>
      <c r="B43" s="37" t="s">
        <v>301</v>
      </c>
      <c r="C43" s="37"/>
      <c r="D43" s="36"/>
      <c r="E43" s="36"/>
      <c r="F43" s="46"/>
      <c r="G43" s="46">
        <f t="shared" ref="G43:K43" si="18">G44</f>
        <v>539.63</v>
      </c>
      <c r="H43" s="46">
        <f t="shared" si="18"/>
        <v>0</v>
      </c>
      <c r="I43" s="46">
        <f t="shared" si="18"/>
        <v>99.94</v>
      </c>
      <c r="J43" s="46">
        <f t="shared" si="18"/>
        <v>639.56999999999994</v>
      </c>
      <c r="K43" s="46">
        <f t="shared" si="18"/>
        <v>3195.53</v>
      </c>
    </row>
    <row r="44" spans="1:11" ht="35.450000000000003" customHeight="1" x14ac:dyDescent="0.25">
      <c r="A44" s="10" t="s">
        <v>35</v>
      </c>
      <c r="B44" s="11" t="s">
        <v>301</v>
      </c>
      <c r="C44" s="11" t="s">
        <v>36</v>
      </c>
      <c r="D44" s="4"/>
      <c r="E44" s="4"/>
      <c r="F44" s="16"/>
      <c r="G44" s="16">
        <v>539.63</v>
      </c>
      <c r="H44" s="16"/>
      <c r="I44" s="16">
        <f>347.8-247.86</f>
        <v>99.94</v>
      </c>
      <c r="J44" s="16">
        <f>G44+I44</f>
        <v>639.56999999999994</v>
      </c>
      <c r="K44" s="16">
        <v>3195.53</v>
      </c>
    </row>
    <row r="45" spans="1:11" ht="48" customHeight="1" x14ac:dyDescent="0.25">
      <c r="A45" s="5" t="s">
        <v>338</v>
      </c>
      <c r="B45" s="7" t="s">
        <v>58</v>
      </c>
      <c r="C45" s="7"/>
      <c r="D45" s="6">
        <f t="shared" ref="D45:I45" si="19">D46+D51+D55+D61</f>
        <v>394112.17</v>
      </c>
      <c r="E45" s="6">
        <f t="shared" si="19"/>
        <v>0</v>
      </c>
      <c r="F45" s="15">
        <f t="shared" si="19"/>
        <v>394112.17</v>
      </c>
      <c r="G45" s="15">
        <f t="shared" si="19"/>
        <v>22590.920000000002</v>
      </c>
      <c r="H45" s="15">
        <f t="shared" si="19"/>
        <v>0</v>
      </c>
      <c r="I45" s="15">
        <f t="shared" si="19"/>
        <v>1325.3600000000001</v>
      </c>
      <c r="J45" s="15">
        <f>J46+J51+J55+J61+J74</f>
        <v>418028.44999999995</v>
      </c>
      <c r="K45" s="15">
        <f>K46+K51+K55+K61+K74</f>
        <v>428611.70999999996</v>
      </c>
    </row>
    <row r="46" spans="1:11" ht="53.45" customHeight="1" x14ac:dyDescent="0.25">
      <c r="A46" s="21" t="s">
        <v>52</v>
      </c>
      <c r="B46" s="22" t="s">
        <v>53</v>
      </c>
      <c r="C46" s="22"/>
      <c r="D46" s="23">
        <f t="shared" ref="D46:K46" si="20">D47</f>
        <v>9321</v>
      </c>
      <c r="E46" s="23">
        <f t="shared" si="20"/>
        <v>0</v>
      </c>
      <c r="F46" s="28">
        <f t="shared" si="20"/>
        <v>9321</v>
      </c>
      <c r="G46" s="28">
        <f t="shared" si="20"/>
        <v>0</v>
      </c>
      <c r="H46" s="28">
        <f t="shared" si="20"/>
        <v>0</v>
      </c>
      <c r="I46" s="28">
        <f t="shared" si="20"/>
        <v>7.2164496600635175E-16</v>
      </c>
      <c r="J46" s="28">
        <f t="shared" si="20"/>
        <v>9321</v>
      </c>
      <c r="K46" s="28">
        <f t="shared" si="20"/>
        <v>9567.3000000000011</v>
      </c>
    </row>
    <row r="47" spans="1:11" ht="40.700000000000003" customHeight="1" x14ac:dyDescent="0.25">
      <c r="A47" s="10" t="s">
        <v>2</v>
      </c>
      <c r="B47" s="11" t="s">
        <v>53</v>
      </c>
      <c r="C47" s="11"/>
      <c r="D47" s="4">
        <f t="shared" ref="D47:I47" si="21">D48+D49+D50</f>
        <v>9321</v>
      </c>
      <c r="E47" s="4">
        <f t="shared" si="21"/>
        <v>0</v>
      </c>
      <c r="F47" s="16">
        <f t="shared" si="21"/>
        <v>9321</v>
      </c>
      <c r="G47" s="16">
        <f t="shared" si="21"/>
        <v>0</v>
      </c>
      <c r="H47" s="16">
        <f t="shared" si="21"/>
        <v>0</v>
      </c>
      <c r="I47" s="16">
        <f t="shared" si="21"/>
        <v>7.2164496600635175E-16</v>
      </c>
      <c r="J47" s="16">
        <f>J48+J49+J50</f>
        <v>9321</v>
      </c>
      <c r="K47" s="16">
        <f>K48+K49+K50</f>
        <v>9567.3000000000011</v>
      </c>
    </row>
    <row r="48" spans="1:11" ht="90" customHeight="1" x14ac:dyDescent="0.25">
      <c r="A48" s="10" t="s">
        <v>33</v>
      </c>
      <c r="B48" s="11" t="s">
        <v>53</v>
      </c>
      <c r="C48" s="11" t="s">
        <v>34</v>
      </c>
      <c r="D48" s="4">
        <v>7980.14</v>
      </c>
      <c r="E48" s="4"/>
      <c r="F48" s="16">
        <f>D48+E48</f>
        <v>7980.14</v>
      </c>
      <c r="G48" s="16"/>
      <c r="H48" s="16"/>
      <c r="I48" s="16">
        <v>-11.27</v>
      </c>
      <c r="J48" s="16">
        <f>F48+I48</f>
        <v>7968.87</v>
      </c>
      <c r="K48" s="16">
        <v>8216.27</v>
      </c>
    </row>
    <row r="49" spans="1:11" ht="42.75" customHeight="1" x14ac:dyDescent="0.25">
      <c r="A49" s="10" t="s">
        <v>35</v>
      </c>
      <c r="B49" s="11" t="s">
        <v>53</v>
      </c>
      <c r="C49" s="11" t="s">
        <v>36</v>
      </c>
      <c r="D49" s="4">
        <v>1337.86</v>
      </c>
      <c r="E49" s="4"/>
      <c r="F49" s="16">
        <f>D49+E49</f>
        <v>1337.86</v>
      </c>
      <c r="G49" s="16"/>
      <c r="H49" s="16"/>
      <c r="I49" s="16">
        <v>10.82</v>
      </c>
      <c r="J49" s="16">
        <f t="shared" ref="J49:J50" si="22">F49+I49</f>
        <v>1348.6799999999998</v>
      </c>
      <c r="K49" s="16">
        <v>1347</v>
      </c>
    </row>
    <row r="50" spans="1:11" ht="24" customHeight="1" x14ac:dyDescent="0.25">
      <c r="A50" s="10" t="s">
        <v>55</v>
      </c>
      <c r="B50" s="11" t="s">
        <v>53</v>
      </c>
      <c r="C50" s="11" t="s">
        <v>54</v>
      </c>
      <c r="D50" s="4">
        <v>3</v>
      </c>
      <c r="E50" s="4"/>
      <c r="F50" s="16">
        <f>D50+E50</f>
        <v>3</v>
      </c>
      <c r="G50" s="16"/>
      <c r="H50" s="16"/>
      <c r="I50" s="16">
        <v>0.45</v>
      </c>
      <c r="J50" s="16">
        <f t="shared" si="22"/>
        <v>3.45</v>
      </c>
      <c r="K50" s="16">
        <v>4.03</v>
      </c>
    </row>
    <row r="51" spans="1:11" ht="63" x14ac:dyDescent="0.25">
      <c r="A51" s="21" t="s">
        <v>220</v>
      </c>
      <c r="B51" s="22" t="s">
        <v>56</v>
      </c>
      <c r="C51" s="22"/>
      <c r="D51" s="23">
        <f t="shared" ref="D51:K51" si="23">D52</f>
        <v>315</v>
      </c>
      <c r="E51" s="23">
        <f t="shared" si="23"/>
        <v>0</v>
      </c>
      <c r="F51" s="28">
        <f t="shared" si="23"/>
        <v>315</v>
      </c>
      <c r="G51" s="28">
        <f>G52</f>
        <v>0</v>
      </c>
      <c r="H51" s="28">
        <f t="shared" si="23"/>
        <v>0</v>
      </c>
      <c r="I51" s="28">
        <f t="shared" si="23"/>
        <v>0</v>
      </c>
      <c r="J51" s="28">
        <f t="shared" si="23"/>
        <v>315</v>
      </c>
      <c r="K51" s="28">
        <f t="shared" si="23"/>
        <v>355</v>
      </c>
    </row>
    <row r="52" spans="1:11" ht="23.25" customHeight="1" x14ac:dyDescent="0.25">
      <c r="A52" s="10" t="s">
        <v>57</v>
      </c>
      <c r="B52" s="11" t="s">
        <v>56</v>
      </c>
      <c r="C52" s="11"/>
      <c r="D52" s="4">
        <f>D54</f>
        <v>315</v>
      </c>
      <c r="E52" s="4">
        <f>E54</f>
        <v>0</v>
      </c>
      <c r="F52" s="16">
        <f>F53+F54</f>
        <v>315</v>
      </c>
      <c r="G52" s="16">
        <f t="shared" ref="G52:J52" si="24">G53+G54</f>
        <v>0</v>
      </c>
      <c r="H52" s="16">
        <f t="shared" si="24"/>
        <v>0</v>
      </c>
      <c r="I52" s="16">
        <f t="shared" si="24"/>
        <v>0</v>
      </c>
      <c r="J52" s="16">
        <f t="shared" si="24"/>
        <v>315</v>
      </c>
      <c r="K52" s="16">
        <f t="shared" ref="K52" si="25">K53+K54</f>
        <v>355</v>
      </c>
    </row>
    <row r="53" spans="1:11" ht="39.75" customHeight="1" x14ac:dyDescent="0.25">
      <c r="A53" s="10" t="s">
        <v>35</v>
      </c>
      <c r="B53" s="11" t="s">
        <v>56</v>
      </c>
      <c r="C53" s="11" t="s">
        <v>36</v>
      </c>
      <c r="D53" s="4">
        <v>315</v>
      </c>
      <c r="E53" s="4"/>
      <c r="F53" s="16">
        <f>D53+E53</f>
        <v>315</v>
      </c>
      <c r="G53" s="16"/>
      <c r="H53" s="16"/>
      <c r="I53" s="16">
        <v>-31</v>
      </c>
      <c r="J53" s="16">
        <f>F53+I53</f>
        <v>284</v>
      </c>
      <c r="K53" s="16">
        <v>239.8</v>
      </c>
    </row>
    <row r="54" spans="1:11" ht="30.75" customHeight="1" x14ac:dyDescent="0.25">
      <c r="A54" s="10" t="s">
        <v>74</v>
      </c>
      <c r="B54" s="11" t="s">
        <v>56</v>
      </c>
      <c r="C54" s="11" t="s">
        <v>76</v>
      </c>
      <c r="D54" s="4">
        <v>315</v>
      </c>
      <c r="E54" s="4"/>
      <c r="F54" s="16"/>
      <c r="G54" s="16"/>
      <c r="H54" s="16"/>
      <c r="I54" s="16">
        <v>31</v>
      </c>
      <c r="J54" s="16">
        <f>F54+I54</f>
        <v>31</v>
      </c>
      <c r="K54" s="16">
        <v>115.2</v>
      </c>
    </row>
    <row r="55" spans="1:11" ht="37.5" customHeight="1" x14ac:dyDescent="0.25">
      <c r="A55" s="24" t="s">
        <v>5</v>
      </c>
      <c r="B55" s="25" t="s">
        <v>31</v>
      </c>
      <c r="C55" s="25"/>
      <c r="D55" s="26">
        <f t="shared" ref="D55:I55" si="26">D56</f>
        <v>141827.45000000001</v>
      </c>
      <c r="E55" s="26">
        <f t="shared" si="26"/>
        <v>0</v>
      </c>
      <c r="F55" s="27">
        <f t="shared" si="26"/>
        <v>141827.45000000001</v>
      </c>
      <c r="G55" s="27">
        <f t="shared" si="26"/>
        <v>0</v>
      </c>
      <c r="H55" s="27">
        <f t="shared" si="26"/>
        <v>0</v>
      </c>
      <c r="I55" s="27">
        <f t="shared" si="26"/>
        <v>402.66</v>
      </c>
      <c r="J55" s="27">
        <f>J56+J59</f>
        <v>142230.10999999999</v>
      </c>
      <c r="K55" s="27">
        <f>K56+K59</f>
        <v>145454.95000000001</v>
      </c>
    </row>
    <row r="56" spans="1:11" ht="72" customHeight="1" x14ac:dyDescent="0.25">
      <c r="A56" s="21" t="s">
        <v>206</v>
      </c>
      <c r="B56" s="22" t="s">
        <v>30</v>
      </c>
      <c r="C56" s="22"/>
      <c r="D56" s="23">
        <f t="shared" ref="D56:I56" si="27">D58+D59</f>
        <v>141827.45000000001</v>
      </c>
      <c r="E56" s="23">
        <f t="shared" si="27"/>
        <v>0</v>
      </c>
      <c r="F56" s="28">
        <f>F58+F59</f>
        <v>141827.45000000001</v>
      </c>
      <c r="G56" s="28">
        <f t="shared" si="27"/>
        <v>0</v>
      </c>
      <c r="H56" s="28">
        <f t="shared" si="27"/>
        <v>0</v>
      </c>
      <c r="I56" s="28">
        <f t="shared" si="27"/>
        <v>402.66</v>
      </c>
      <c r="J56" s="28">
        <f>J57+J58</f>
        <v>49709.990000000005</v>
      </c>
      <c r="K56" s="28">
        <f>K57+K58</f>
        <v>51652.639999999999</v>
      </c>
    </row>
    <row r="57" spans="1:11" ht="39.75" customHeight="1" x14ac:dyDescent="0.25">
      <c r="A57" s="10" t="s">
        <v>35</v>
      </c>
      <c r="B57" s="11" t="s">
        <v>30</v>
      </c>
      <c r="C57" s="11" t="s">
        <v>36</v>
      </c>
      <c r="D57" s="4">
        <v>49307.33</v>
      </c>
      <c r="E57" s="4"/>
      <c r="F57" s="16">
        <f>D57+E57</f>
        <v>49307.33</v>
      </c>
      <c r="G57" s="16"/>
      <c r="H57" s="16"/>
      <c r="I57" s="16">
        <f>402.66+70-70</f>
        <v>402.66</v>
      </c>
      <c r="J57" s="16">
        <v>0</v>
      </c>
      <c r="K57" s="16">
        <v>2631.61</v>
      </c>
    </row>
    <row r="58" spans="1:11" ht="39.75" customHeight="1" x14ac:dyDescent="0.25">
      <c r="A58" s="10" t="s">
        <v>29</v>
      </c>
      <c r="B58" s="11" t="s">
        <v>30</v>
      </c>
      <c r="C58" s="11" t="s">
        <v>28</v>
      </c>
      <c r="D58" s="4">
        <v>49307.33</v>
      </c>
      <c r="E58" s="4"/>
      <c r="F58" s="16">
        <f>D58+E58</f>
        <v>49307.33</v>
      </c>
      <c r="G58" s="16"/>
      <c r="H58" s="16"/>
      <c r="I58" s="16">
        <f>402.66+70-70</f>
        <v>402.66</v>
      </c>
      <c r="J58" s="16">
        <f>F58+I58</f>
        <v>49709.990000000005</v>
      </c>
      <c r="K58" s="16">
        <v>49021.03</v>
      </c>
    </row>
    <row r="59" spans="1:11" ht="82.5" customHeight="1" x14ac:dyDescent="0.25">
      <c r="A59" s="47" t="s">
        <v>39</v>
      </c>
      <c r="B59" s="37" t="s">
        <v>24</v>
      </c>
      <c r="C59" s="37"/>
      <c r="D59" s="36">
        <f t="shared" ref="D59:K59" si="28">D60</f>
        <v>92520.12</v>
      </c>
      <c r="E59" s="36">
        <f t="shared" si="28"/>
        <v>0</v>
      </c>
      <c r="F59" s="46">
        <f t="shared" si="28"/>
        <v>92520.12</v>
      </c>
      <c r="G59" s="46">
        <f t="shared" si="28"/>
        <v>0</v>
      </c>
      <c r="H59" s="46">
        <f t="shared" si="28"/>
        <v>0</v>
      </c>
      <c r="I59" s="46">
        <f t="shared" si="28"/>
        <v>0</v>
      </c>
      <c r="J59" s="46">
        <f t="shared" si="28"/>
        <v>92520.12</v>
      </c>
      <c r="K59" s="46">
        <f t="shared" si="28"/>
        <v>93802.31</v>
      </c>
    </row>
    <row r="60" spans="1:11" ht="55.5" customHeight="1" x14ac:dyDescent="0.25">
      <c r="A60" s="12" t="s">
        <v>29</v>
      </c>
      <c r="B60" s="11" t="s">
        <v>24</v>
      </c>
      <c r="C60" s="11" t="s">
        <v>28</v>
      </c>
      <c r="D60" s="4">
        <v>92520.12</v>
      </c>
      <c r="E60" s="4"/>
      <c r="F60" s="16">
        <f>D60+E60</f>
        <v>92520.12</v>
      </c>
      <c r="G60" s="16"/>
      <c r="H60" s="16"/>
      <c r="I60" s="16"/>
      <c r="J60" s="16">
        <f>F60+I60</f>
        <v>92520.12</v>
      </c>
      <c r="K60" s="16">
        <v>93802.31</v>
      </c>
    </row>
    <row r="61" spans="1:11" ht="15.75" x14ac:dyDescent="0.25">
      <c r="A61" s="24" t="s">
        <v>6</v>
      </c>
      <c r="B61" s="25" t="s">
        <v>41</v>
      </c>
      <c r="C61" s="25"/>
      <c r="D61" s="26">
        <f t="shared" ref="D61:I61" si="29">D62+D75</f>
        <v>242648.71999999997</v>
      </c>
      <c r="E61" s="26">
        <f t="shared" si="29"/>
        <v>0</v>
      </c>
      <c r="F61" s="27">
        <f t="shared" si="29"/>
        <v>242648.71999999997</v>
      </c>
      <c r="G61" s="27">
        <f t="shared" si="29"/>
        <v>22590.920000000002</v>
      </c>
      <c r="H61" s="27">
        <f t="shared" si="29"/>
        <v>0</v>
      </c>
      <c r="I61" s="27">
        <f t="shared" si="29"/>
        <v>922.7</v>
      </c>
      <c r="J61" s="27">
        <f>J62</f>
        <v>207674.41999999998</v>
      </c>
      <c r="K61" s="27">
        <f>K62</f>
        <v>212496.27999999997</v>
      </c>
    </row>
    <row r="62" spans="1:11" ht="96.75" customHeight="1" x14ac:dyDescent="0.25">
      <c r="A62" s="21" t="s">
        <v>40</v>
      </c>
      <c r="B62" s="22" t="s">
        <v>44</v>
      </c>
      <c r="C62" s="22"/>
      <c r="D62" s="23">
        <f t="shared" ref="D62:I62" si="30">D63+D65+D68+D70+D72</f>
        <v>207559.71999999997</v>
      </c>
      <c r="E62" s="23">
        <f t="shared" si="30"/>
        <v>0</v>
      </c>
      <c r="F62" s="28">
        <f t="shared" si="30"/>
        <v>207559.71999999997</v>
      </c>
      <c r="G62" s="28">
        <f t="shared" si="30"/>
        <v>114.7</v>
      </c>
      <c r="H62" s="28">
        <f t="shared" si="30"/>
        <v>0</v>
      </c>
      <c r="I62" s="28">
        <f t="shared" si="30"/>
        <v>0</v>
      </c>
      <c r="J62" s="28">
        <f>J63+J65+J68+J70+J72</f>
        <v>207674.41999999998</v>
      </c>
      <c r="K62" s="28">
        <f>K63+K65+K68+K70+K72</f>
        <v>212496.27999999997</v>
      </c>
    </row>
    <row r="63" spans="1:11" ht="64.900000000000006" customHeight="1" x14ac:dyDescent="0.25">
      <c r="A63" s="10" t="s">
        <v>42</v>
      </c>
      <c r="B63" s="11" t="s">
        <v>45</v>
      </c>
      <c r="C63" s="11"/>
      <c r="D63" s="4">
        <f t="shared" ref="D63:K63" si="31">D64</f>
        <v>135699.57</v>
      </c>
      <c r="E63" s="4">
        <f t="shared" si="31"/>
        <v>0</v>
      </c>
      <c r="F63" s="16">
        <f t="shared" si="31"/>
        <v>135699.57</v>
      </c>
      <c r="G63" s="16">
        <f t="shared" si="31"/>
        <v>0</v>
      </c>
      <c r="H63" s="16">
        <f t="shared" si="31"/>
        <v>0</v>
      </c>
      <c r="I63" s="16">
        <f t="shared" si="31"/>
        <v>0</v>
      </c>
      <c r="J63" s="16">
        <f t="shared" si="31"/>
        <v>135699.57</v>
      </c>
      <c r="K63" s="16">
        <f t="shared" si="31"/>
        <v>138495.43</v>
      </c>
    </row>
    <row r="64" spans="1:11" ht="47.25" customHeight="1" x14ac:dyDescent="0.25">
      <c r="A64" s="10" t="s">
        <v>29</v>
      </c>
      <c r="B64" s="11" t="s">
        <v>45</v>
      </c>
      <c r="C64" s="11" t="s">
        <v>28</v>
      </c>
      <c r="D64" s="4">
        <v>135699.57</v>
      </c>
      <c r="E64" s="4"/>
      <c r="F64" s="16">
        <f>D64+E64</f>
        <v>135699.57</v>
      </c>
      <c r="G64" s="16"/>
      <c r="H64" s="16"/>
      <c r="I64" s="16"/>
      <c r="J64" s="16">
        <f>F64+H64</f>
        <v>135699.57</v>
      </c>
      <c r="K64" s="16">
        <v>138495.43</v>
      </c>
    </row>
    <row r="65" spans="1:11" ht="49.5" customHeight="1" x14ac:dyDescent="0.25">
      <c r="A65" s="44" t="s">
        <v>216</v>
      </c>
      <c r="B65" s="37" t="s">
        <v>46</v>
      </c>
      <c r="C65" s="37"/>
      <c r="D65" s="36">
        <f t="shared" ref="D65:I65" si="32">D67</f>
        <v>65150.8</v>
      </c>
      <c r="E65" s="36">
        <f t="shared" si="32"/>
        <v>0</v>
      </c>
      <c r="F65" s="46">
        <f t="shared" si="32"/>
        <v>65150.8</v>
      </c>
      <c r="G65" s="46">
        <f t="shared" si="32"/>
        <v>114.7</v>
      </c>
      <c r="H65" s="46">
        <f t="shared" si="32"/>
        <v>0</v>
      </c>
      <c r="I65" s="46">
        <f t="shared" si="32"/>
        <v>0</v>
      </c>
      <c r="J65" s="46">
        <f>J66+J67</f>
        <v>65265.5</v>
      </c>
      <c r="K65" s="46">
        <f>K66+K67</f>
        <v>67291.5</v>
      </c>
    </row>
    <row r="66" spans="1:11" ht="35.25" customHeight="1" x14ac:dyDescent="0.25">
      <c r="A66" s="10" t="s">
        <v>35</v>
      </c>
      <c r="B66" s="11" t="s">
        <v>46</v>
      </c>
      <c r="C66" s="11" t="s">
        <v>36</v>
      </c>
      <c r="D66" s="4">
        <v>65150.8</v>
      </c>
      <c r="E66" s="4"/>
      <c r="F66" s="16">
        <f>D66+E66</f>
        <v>65150.8</v>
      </c>
      <c r="G66" s="16">
        <v>114.7</v>
      </c>
      <c r="H66" s="16"/>
      <c r="I66" s="16">
        <f>101.76-71.76-30</f>
        <v>0</v>
      </c>
      <c r="J66" s="16">
        <v>0</v>
      </c>
      <c r="K66" s="16">
        <v>2242.46</v>
      </c>
    </row>
    <row r="67" spans="1:11" ht="35.25" customHeight="1" x14ac:dyDescent="0.25">
      <c r="A67" s="10" t="s">
        <v>29</v>
      </c>
      <c r="B67" s="11" t="s">
        <v>46</v>
      </c>
      <c r="C67" s="11" t="s">
        <v>28</v>
      </c>
      <c r="D67" s="4">
        <v>65150.8</v>
      </c>
      <c r="E67" s="4"/>
      <c r="F67" s="16">
        <f>D67+E67</f>
        <v>65150.8</v>
      </c>
      <c r="G67" s="16">
        <v>114.7</v>
      </c>
      <c r="H67" s="16"/>
      <c r="I67" s="16">
        <f>101.76-71.76-30</f>
        <v>0</v>
      </c>
      <c r="J67" s="16">
        <f>F67+G67+I67</f>
        <v>65265.5</v>
      </c>
      <c r="K67" s="16">
        <v>65049.04</v>
      </c>
    </row>
    <row r="68" spans="1:11" ht="37.5" customHeight="1" x14ac:dyDescent="0.25">
      <c r="A68" s="44" t="s">
        <v>43</v>
      </c>
      <c r="B68" s="37" t="s">
        <v>47</v>
      </c>
      <c r="C68" s="37"/>
      <c r="D68" s="36">
        <f t="shared" ref="D68:K68" si="33">D69</f>
        <v>2138.8000000000002</v>
      </c>
      <c r="E68" s="36">
        <f t="shared" si="33"/>
        <v>0</v>
      </c>
      <c r="F68" s="46">
        <f t="shared" si="33"/>
        <v>2138.8000000000002</v>
      </c>
      <c r="G68" s="46">
        <f t="shared" si="33"/>
        <v>0</v>
      </c>
      <c r="H68" s="46">
        <f t="shared" si="33"/>
        <v>0</v>
      </c>
      <c r="I68" s="46">
        <f t="shared" si="33"/>
        <v>0</v>
      </c>
      <c r="J68" s="46">
        <f t="shared" si="33"/>
        <v>2138.8000000000002</v>
      </c>
      <c r="K68" s="46">
        <f t="shared" si="33"/>
        <v>2138.8000000000002</v>
      </c>
    </row>
    <row r="69" spans="1:11" ht="42.75" customHeight="1" x14ac:dyDescent="0.25">
      <c r="A69" s="10" t="s">
        <v>29</v>
      </c>
      <c r="B69" s="11" t="s">
        <v>47</v>
      </c>
      <c r="C69" s="11" t="s">
        <v>28</v>
      </c>
      <c r="D69" s="4">
        <v>2138.8000000000002</v>
      </c>
      <c r="E69" s="4"/>
      <c r="F69" s="16">
        <f>D69+E69</f>
        <v>2138.8000000000002</v>
      </c>
      <c r="G69" s="16"/>
      <c r="H69" s="16"/>
      <c r="I69" s="16"/>
      <c r="J69" s="16">
        <f>F69+I69</f>
        <v>2138.8000000000002</v>
      </c>
      <c r="K69" s="16">
        <v>2138.8000000000002</v>
      </c>
    </row>
    <row r="70" spans="1:11" ht="51.75" customHeight="1" x14ac:dyDescent="0.25">
      <c r="A70" s="44" t="s">
        <v>212</v>
      </c>
      <c r="B70" s="37" t="s">
        <v>213</v>
      </c>
      <c r="C70" s="37"/>
      <c r="D70" s="36">
        <f t="shared" ref="D70:K70" si="34">D71</f>
        <v>2637</v>
      </c>
      <c r="E70" s="36">
        <f t="shared" si="34"/>
        <v>0</v>
      </c>
      <c r="F70" s="46">
        <f t="shared" si="34"/>
        <v>2637</v>
      </c>
      <c r="G70" s="46">
        <f t="shared" si="34"/>
        <v>0</v>
      </c>
      <c r="H70" s="46">
        <f t="shared" si="34"/>
        <v>0</v>
      </c>
      <c r="I70" s="46">
        <f t="shared" si="34"/>
        <v>0</v>
      </c>
      <c r="J70" s="46">
        <f t="shared" si="34"/>
        <v>2637</v>
      </c>
      <c r="K70" s="46">
        <f t="shared" si="34"/>
        <v>2637</v>
      </c>
    </row>
    <row r="71" spans="1:11" ht="47.25" x14ac:dyDescent="0.25">
      <c r="A71" s="10" t="s">
        <v>29</v>
      </c>
      <c r="B71" s="11" t="s">
        <v>213</v>
      </c>
      <c r="C71" s="11" t="s">
        <v>28</v>
      </c>
      <c r="D71" s="4">
        <v>2637</v>
      </c>
      <c r="E71" s="4"/>
      <c r="F71" s="16">
        <f>E71+D71</f>
        <v>2637</v>
      </c>
      <c r="G71" s="16"/>
      <c r="H71" s="16"/>
      <c r="I71" s="16"/>
      <c r="J71" s="16">
        <f>F71+I71</f>
        <v>2637</v>
      </c>
      <c r="K71" s="16">
        <v>2637</v>
      </c>
    </row>
    <row r="72" spans="1:11" ht="15.75" x14ac:dyDescent="0.25">
      <c r="A72" s="44" t="s">
        <v>214</v>
      </c>
      <c r="B72" s="37" t="s">
        <v>215</v>
      </c>
      <c r="C72" s="37"/>
      <c r="D72" s="36">
        <f t="shared" ref="D72:K72" si="35">D73</f>
        <v>1933.55</v>
      </c>
      <c r="E72" s="36">
        <f t="shared" si="35"/>
        <v>0</v>
      </c>
      <c r="F72" s="46">
        <f t="shared" si="35"/>
        <v>1933.55</v>
      </c>
      <c r="G72" s="46">
        <f t="shared" si="35"/>
        <v>0</v>
      </c>
      <c r="H72" s="46">
        <f t="shared" si="35"/>
        <v>0</v>
      </c>
      <c r="I72" s="46">
        <f t="shared" si="35"/>
        <v>0</v>
      </c>
      <c r="J72" s="46">
        <f t="shared" si="35"/>
        <v>1933.55</v>
      </c>
      <c r="K72" s="46">
        <f t="shared" si="35"/>
        <v>1933.55</v>
      </c>
    </row>
    <row r="73" spans="1:11" ht="37.5" customHeight="1" x14ac:dyDescent="0.25">
      <c r="A73" s="10" t="s">
        <v>35</v>
      </c>
      <c r="B73" s="11" t="s">
        <v>215</v>
      </c>
      <c r="C73" s="11" t="s">
        <v>36</v>
      </c>
      <c r="D73" s="4">
        <v>1933.55</v>
      </c>
      <c r="E73" s="4"/>
      <c r="F73" s="16">
        <f>D73+E73</f>
        <v>1933.55</v>
      </c>
      <c r="G73" s="16"/>
      <c r="H73" s="16"/>
      <c r="I73" s="16"/>
      <c r="J73" s="16">
        <f>F73+H73</f>
        <v>1933.55</v>
      </c>
      <c r="K73" s="16">
        <v>1933.55</v>
      </c>
    </row>
    <row r="74" spans="1:11" ht="36.75" customHeight="1" x14ac:dyDescent="0.25">
      <c r="A74" s="8" t="s">
        <v>204</v>
      </c>
      <c r="B74" s="51" t="s">
        <v>49</v>
      </c>
      <c r="C74" s="51"/>
      <c r="D74" s="9">
        <f t="shared" ref="D74:K74" si="36">D75</f>
        <v>35089</v>
      </c>
      <c r="E74" s="9">
        <f t="shared" si="36"/>
        <v>0</v>
      </c>
      <c r="F74" s="61">
        <f t="shared" si="36"/>
        <v>35089</v>
      </c>
      <c r="G74" s="61">
        <f t="shared" si="36"/>
        <v>22476.22</v>
      </c>
      <c r="H74" s="61">
        <f t="shared" si="36"/>
        <v>0</v>
      </c>
      <c r="I74" s="61">
        <f t="shared" si="36"/>
        <v>922.7</v>
      </c>
      <c r="J74" s="61">
        <f t="shared" si="36"/>
        <v>58487.92</v>
      </c>
      <c r="K74" s="61">
        <f t="shared" si="36"/>
        <v>60738.18</v>
      </c>
    </row>
    <row r="75" spans="1:11" ht="35.450000000000003" customHeight="1" x14ac:dyDescent="0.25">
      <c r="A75" s="21" t="s">
        <v>48</v>
      </c>
      <c r="B75" s="22" t="s">
        <v>205</v>
      </c>
      <c r="C75" s="22"/>
      <c r="D75" s="23">
        <f t="shared" ref="D75:K75" si="37">SUM(D76)</f>
        <v>35089</v>
      </c>
      <c r="E75" s="23">
        <f t="shared" si="37"/>
        <v>0</v>
      </c>
      <c r="F75" s="28">
        <f t="shared" si="37"/>
        <v>35089</v>
      </c>
      <c r="G75" s="28">
        <f t="shared" si="37"/>
        <v>22476.22</v>
      </c>
      <c r="H75" s="28">
        <f t="shared" si="37"/>
        <v>0</v>
      </c>
      <c r="I75" s="28">
        <f t="shared" si="37"/>
        <v>922.7</v>
      </c>
      <c r="J75" s="28">
        <f>SUM(J76)</f>
        <v>58487.92</v>
      </c>
      <c r="K75" s="28">
        <f t="shared" si="37"/>
        <v>60738.18</v>
      </c>
    </row>
    <row r="76" spans="1:11" ht="36.75" customHeight="1" x14ac:dyDescent="0.25">
      <c r="A76" s="10" t="s">
        <v>50</v>
      </c>
      <c r="B76" s="11" t="s">
        <v>51</v>
      </c>
      <c r="C76" s="11"/>
      <c r="D76" s="4">
        <f t="shared" ref="D76:E76" si="38">D78</f>
        <v>35089</v>
      </c>
      <c r="E76" s="4">
        <f t="shared" si="38"/>
        <v>0</v>
      </c>
      <c r="F76" s="16">
        <f>F77+F78</f>
        <v>35089</v>
      </c>
      <c r="G76" s="16">
        <f>G77+G78</f>
        <v>22476.22</v>
      </c>
      <c r="H76" s="16">
        <f t="shared" ref="H76:I76" si="39">H77+H78</f>
        <v>0</v>
      </c>
      <c r="I76" s="16">
        <f t="shared" si="39"/>
        <v>922.7</v>
      </c>
      <c r="J76" s="16">
        <f>J77+J78</f>
        <v>58487.92</v>
      </c>
      <c r="K76" s="16">
        <f>K77+K78</f>
        <v>60738.18</v>
      </c>
    </row>
    <row r="77" spans="1:11" ht="33.75" customHeight="1" x14ac:dyDescent="0.25">
      <c r="A77" s="10" t="s">
        <v>35</v>
      </c>
      <c r="B77" s="11" t="s">
        <v>51</v>
      </c>
      <c r="C77" s="11" t="s">
        <v>36</v>
      </c>
      <c r="D77" s="4">
        <v>35089</v>
      </c>
      <c r="E77" s="4"/>
      <c r="F77" s="16"/>
      <c r="G77" s="16">
        <v>22476.22</v>
      </c>
      <c r="H77" s="16"/>
      <c r="I77" s="16">
        <v>922.7</v>
      </c>
      <c r="J77" s="16">
        <f>G77+I77</f>
        <v>23398.920000000002</v>
      </c>
      <c r="K77" s="16">
        <v>25649.18</v>
      </c>
    </row>
    <row r="78" spans="1:11" ht="33.75" customHeight="1" x14ac:dyDescent="0.25">
      <c r="A78" s="10" t="s">
        <v>29</v>
      </c>
      <c r="B78" s="11" t="s">
        <v>51</v>
      </c>
      <c r="C78" s="11" t="s">
        <v>28</v>
      </c>
      <c r="D78" s="4">
        <v>35089</v>
      </c>
      <c r="E78" s="4"/>
      <c r="F78" s="16">
        <f>D78+E78</f>
        <v>35089</v>
      </c>
      <c r="G78" s="16"/>
      <c r="H78" s="16"/>
      <c r="I78" s="16"/>
      <c r="J78" s="16">
        <f>F78+I78</f>
        <v>35089</v>
      </c>
      <c r="K78" s="16">
        <v>35089</v>
      </c>
    </row>
    <row r="79" spans="1:11" ht="31.5" x14ac:dyDescent="0.25">
      <c r="A79" s="5" t="s">
        <v>337</v>
      </c>
      <c r="B79" s="7" t="s">
        <v>66</v>
      </c>
      <c r="C79" s="7"/>
      <c r="D79" s="6">
        <f t="shared" ref="D79:J79" si="40">D80+D84+D102+D109+D115+D92+D88+D130+D134</f>
        <v>37532.06</v>
      </c>
      <c r="E79" s="6">
        <f t="shared" si="40"/>
        <v>-1513.31</v>
      </c>
      <c r="F79" s="15">
        <f t="shared" si="40"/>
        <v>39908.959999999999</v>
      </c>
      <c r="G79" s="15">
        <f t="shared" si="40"/>
        <v>0</v>
      </c>
      <c r="H79" s="15">
        <f t="shared" si="40"/>
        <v>0</v>
      </c>
      <c r="I79" s="15">
        <f t="shared" si="40"/>
        <v>-9.9999999999909051E-3</v>
      </c>
      <c r="J79" s="15">
        <f t="shared" si="40"/>
        <v>38835.280000000006</v>
      </c>
      <c r="K79" s="15">
        <f t="shared" ref="K79" si="41">K80+K84+K102+K109+K115+K92+K88+K130+K134</f>
        <v>38113.17</v>
      </c>
    </row>
    <row r="80" spans="1:11" ht="66.75" customHeight="1" x14ac:dyDescent="0.25">
      <c r="A80" s="21" t="s">
        <v>38</v>
      </c>
      <c r="B80" s="22" t="s">
        <v>37</v>
      </c>
      <c r="C80" s="22"/>
      <c r="D80" s="23">
        <f t="shared" ref="D80:K80" si="42">D81</f>
        <v>1638.57</v>
      </c>
      <c r="E80" s="23">
        <f t="shared" si="42"/>
        <v>0</v>
      </c>
      <c r="F80" s="28">
        <f t="shared" si="42"/>
        <v>1638.57</v>
      </c>
      <c r="G80" s="28">
        <f t="shared" si="42"/>
        <v>0</v>
      </c>
      <c r="H80" s="28">
        <f t="shared" si="42"/>
        <v>0</v>
      </c>
      <c r="I80" s="28">
        <f t="shared" si="42"/>
        <v>0</v>
      </c>
      <c r="J80" s="28">
        <f t="shared" si="42"/>
        <v>1638.5700000000002</v>
      </c>
      <c r="K80" s="28">
        <f t="shared" si="42"/>
        <v>1638.5700000000002</v>
      </c>
    </row>
    <row r="81" spans="1:11" ht="63" x14ac:dyDescent="0.25">
      <c r="A81" s="10" t="s">
        <v>84</v>
      </c>
      <c r="B81" s="11" t="s">
        <v>37</v>
      </c>
      <c r="C81" s="22"/>
      <c r="D81" s="4">
        <f t="shared" ref="D81:J81" si="43">D82+D83</f>
        <v>1638.57</v>
      </c>
      <c r="E81" s="4">
        <f t="shared" si="43"/>
        <v>0</v>
      </c>
      <c r="F81" s="16">
        <f t="shared" si="43"/>
        <v>1638.57</v>
      </c>
      <c r="G81" s="16">
        <f t="shared" si="43"/>
        <v>0</v>
      </c>
      <c r="H81" s="16">
        <f t="shared" si="43"/>
        <v>0</v>
      </c>
      <c r="I81" s="16">
        <f t="shared" si="43"/>
        <v>0</v>
      </c>
      <c r="J81" s="16">
        <f t="shared" si="43"/>
        <v>1638.5700000000002</v>
      </c>
      <c r="K81" s="16">
        <f>K82+K83</f>
        <v>1638.5700000000002</v>
      </c>
    </row>
    <row r="82" spans="1:11" ht="78.75" customHeight="1" x14ac:dyDescent="0.25">
      <c r="A82" s="10" t="s">
        <v>33</v>
      </c>
      <c r="B82" s="11" t="s">
        <v>37</v>
      </c>
      <c r="C82" s="11" t="s">
        <v>34</v>
      </c>
      <c r="D82" s="4">
        <v>1550</v>
      </c>
      <c r="E82" s="4"/>
      <c r="F82" s="16">
        <f>D82+E82</f>
        <v>1550</v>
      </c>
      <c r="G82" s="16"/>
      <c r="H82" s="16"/>
      <c r="I82" s="16">
        <v>-135.08000000000001</v>
      </c>
      <c r="J82" s="16">
        <f>F82+I82</f>
        <v>1414.92</v>
      </c>
      <c r="K82" s="16">
        <v>1210.96</v>
      </c>
    </row>
    <row r="83" spans="1:11" ht="40.700000000000003" customHeight="1" x14ac:dyDescent="0.25">
      <c r="A83" s="10" t="s">
        <v>35</v>
      </c>
      <c r="B83" s="11" t="s">
        <v>37</v>
      </c>
      <c r="C83" s="11" t="s">
        <v>36</v>
      </c>
      <c r="D83" s="4">
        <v>88.57</v>
      </c>
      <c r="E83" s="4"/>
      <c r="F83" s="16">
        <f>D83+E83</f>
        <v>88.57</v>
      </c>
      <c r="G83" s="16"/>
      <c r="H83" s="16"/>
      <c r="I83" s="16">
        <v>135.08000000000001</v>
      </c>
      <c r="J83" s="16">
        <f>F83+I83</f>
        <v>223.65</v>
      </c>
      <c r="K83" s="16">
        <v>427.61</v>
      </c>
    </row>
    <row r="84" spans="1:11" ht="46.5" customHeight="1" x14ac:dyDescent="0.25">
      <c r="A84" s="21" t="s">
        <v>303</v>
      </c>
      <c r="B84" s="22" t="s">
        <v>32</v>
      </c>
      <c r="C84" s="22"/>
      <c r="D84" s="23">
        <f t="shared" ref="D84:K84" si="44">D85</f>
        <v>797</v>
      </c>
      <c r="E84" s="23">
        <f t="shared" si="44"/>
        <v>0</v>
      </c>
      <c r="F84" s="28">
        <f t="shared" si="44"/>
        <v>797</v>
      </c>
      <c r="G84" s="28">
        <f t="shared" si="44"/>
        <v>0</v>
      </c>
      <c r="H84" s="28">
        <f t="shared" si="44"/>
        <v>0</v>
      </c>
      <c r="I84" s="28">
        <f t="shared" si="44"/>
        <v>0</v>
      </c>
      <c r="J84" s="28">
        <f t="shared" si="44"/>
        <v>797</v>
      </c>
      <c r="K84" s="28">
        <f t="shared" si="44"/>
        <v>797</v>
      </c>
    </row>
    <row r="85" spans="1:11" ht="75.75" customHeight="1" x14ac:dyDescent="0.25">
      <c r="A85" s="10" t="s">
        <v>83</v>
      </c>
      <c r="B85" s="11" t="s">
        <v>32</v>
      </c>
      <c r="C85" s="11"/>
      <c r="D85" s="4">
        <f t="shared" ref="D85:J85" si="45">D86+D87</f>
        <v>797</v>
      </c>
      <c r="E85" s="4">
        <f t="shared" si="45"/>
        <v>0</v>
      </c>
      <c r="F85" s="16">
        <f t="shared" si="45"/>
        <v>797</v>
      </c>
      <c r="G85" s="16">
        <f t="shared" si="45"/>
        <v>0</v>
      </c>
      <c r="H85" s="16">
        <f t="shared" si="45"/>
        <v>0</v>
      </c>
      <c r="I85" s="16">
        <f t="shared" si="45"/>
        <v>0</v>
      </c>
      <c r="J85" s="16">
        <f t="shared" si="45"/>
        <v>797</v>
      </c>
      <c r="K85" s="16">
        <f t="shared" ref="K85" si="46">K86+K87</f>
        <v>797</v>
      </c>
    </row>
    <row r="86" spans="1:11" ht="81.75" customHeight="1" x14ac:dyDescent="0.25">
      <c r="A86" s="10" t="s">
        <v>33</v>
      </c>
      <c r="B86" s="11" t="s">
        <v>32</v>
      </c>
      <c r="C86" s="11" t="s">
        <v>34</v>
      </c>
      <c r="D86" s="4">
        <v>547</v>
      </c>
      <c r="E86" s="4"/>
      <c r="F86" s="16">
        <f>D86+E86</f>
        <v>547</v>
      </c>
      <c r="G86" s="16"/>
      <c r="H86" s="16"/>
      <c r="I86" s="16">
        <v>213.23</v>
      </c>
      <c r="J86" s="16">
        <f>F86+I86</f>
        <v>760.23</v>
      </c>
      <c r="K86" s="16">
        <v>611.05999999999995</v>
      </c>
    </row>
    <row r="87" spans="1:11" ht="37.5" customHeight="1" x14ac:dyDescent="0.25">
      <c r="A87" s="10" t="s">
        <v>35</v>
      </c>
      <c r="B87" s="11" t="s">
        <v>32</v>
      </c>
      <c r="C87" s="11" t="s">
        <v>36</v>
      </c>
      <c r="D87" s="4">
        <v>250</v>
      </c>
      <c r="E87" s="4"/>
      <c r="F87" s="16">
        <f>D87+E87</f>
        <v>250</v>
      </c>
      <c r="G87" s="16"/>
      <c r="H87" s="16"/>
      <c r="I87" s="16">
        <v>-213.23</v>
      </c>
      <c r="J87" s="16">
        <f>F87+I87</f>
        <v>36.77000000000001</v>
      </c>
      <c r="K87" s="16">
        <v>185.94</v>
      </c>
    </row>
    <row r="88" spans="1:11" ht="39.75" customHeight="1" x14ac:dyDescent="0.25">
      <c r="A88" s="21" t="s">
        <v>331</v>
      </c>
      <c r="B88" s="22" t="s">
        <v>128</v>
      </c>
      <c r="C88" s="22"/>
      <c r="D88" s="23">
        <f t="shared" ref="D88:K88" si="47">D89</f>
        <v>570</v>
      </c>
      <c r="E88" s="23">
        <f t="shared" si="47"/>
        <v>0</v>
      </c>
      <c r="F88" s="28">
        <f t="shared" si="47"/>
        <v>570</v>
      </c>
      <c r="G88" s="28">
        <f t="shared" si="47"/>
        <v>0</v>
      </c>
      <c r="H88" s="28">
        <f t="shared" si="47"/>
        <v>0</v>
      </c>
      <c r="I88" s="28">
        <f t="shared" si="47"/>
        <v>0</v>
      </c>
      <c r="J88" s="28">
        <f t="shared" si="47"/>
        <v>570</v>
      </c>
      <c r="K88" s="28">
        <f t="shared" si="47"/>
        <v>669</v>
      </c>
    </row>
    <row r="89" spans="1:11" ht="40.15" customHeight="1" x14ac:dyDescent="0.25">
      <c r="A89" s="44" t="s">
        <v>330</v>
      </c>
      <c r="B89" s="37" t="s">
        <v>128</v>
      </c>
      <c r="C89" s="37"/>
      <c r="D89" s="36">
        <f t="shared" ref="D89:J89" si="48">D90+D91</f>
        <v>570</v>
      </c>
      <c r="E89" s="36">
        <f t="shared" si="48"/>
        <v>0</v>
      </c>
      <c r="F89" s="46">
        <f t="shared" si="48"/>
        <v>570</v>
      </c>
      <c r="G89" s="46">
        <f t="shared" si="48"/>
        <v>0</v>
      </c>
      <c r="H89" s="46">
        <f t="shared" si="48"/>
        <v>0</v>
      </c>
      <c r="I89" s="46">
        <f t="shared" si="48"/>
        <v>0</v>
      </c>
      <c r="J89" s="46">
        <f t="shared" si="48"/>
        <v>570</v>
      </c>
      <c r="K89" s="46">
        <f t="shared" ref="K89" si="49">K90+K91</f>
        <v>669</v>
      </c>
    </row>
    <row r="90" spans="1:11" ht="33.75" customHeight="1" x14ac:dyDescent="0.25">
      <c r="A90" s="10" t="s">
        <v>35</v>
      </c>
      <c r="B90" s="11" t="s">
        <v>128</v>
      </c>
      <c r="C90" s="11" t="s">
        <v>36</v>
      </c>
      <c r="D90" s="4">
        <v>470</v>
      </c>
      <c r="E90" s="4"/>
      <c r="F90" s="16">
        <f>D90+E90</f>
        <v>470</v>
      </c>
      <c r="G90" s="16"/>
      <c r="H90" s="16"/>
      <c r="I90" s="16"/>
      <c r="J90" s="16">
        <f>F90+I90</f>
        <v>470</v>
      </c>
      <c r="K90" s="16">
        <f>46.6+93.48+473.06</f>
        <v>613.14</v>
      </c>
    </row>
    <row r="91" spans="1:11" ht="32.25" customHeight="1" x14ac:dyDescent="0.25">
      <c r="A91" s="10" t="s">
        <v>74</v>
      </c>
      <c r="B91" s="11" t="s">
        <v>128</v>
      </c>
      <c r="C91" s="11" t="s">
        <v>76</v>
      </c>
      <c r="D91" s="4">
        <v>100</v>
      </c>
      <c r="E91" s="4"/>
      <c r="F91" s="16">
        <f>D91+E91</f>
        <v>100</v>
      </c>
      <c r="G91" s="16"/>
      <c r="H91" s="16"/>
      <c r="I91" s="16"/>
      <c r="J91" s="16">
        <f>F91</f>
        <v>100</v>
      </c>
      <c r="K91" s="16">
        <v>55.86</v>
      </c>
    </row>
    <row r="92" spans="1:11" ht="51.75" customHeight="1" x14ac:dyDescent="0.25">
      <c r="A92" s="41" t="s">
        <v>14</v>
      </c>
      <c r="B92" s="42" t="s">
        <v>123</v>
      </c>
      <c r="C92" s="42"/>
      <c r="D92" s="43">
        <f t="shared" ref="D92:K92" si="50">D93</f>
        <v>5904</v>
      </c>
      <c r="E92" s="43">
        <f t="shared" si="50"/>
        <v>0</v>
      </c>
      <c r="F92" s="62">
        <f t="shared" si="50"/>
        <v>5904</v>
      </c>
      <c r="G92" s="62">
        <f t="shared" si="50"/>
        <v>0</v>
      </c>
      <c r="H92" s="62">
        <f t="shared" si="50"/>
        <v>0</v>
      </c>
      <c r="I92" s="62">
        <f t="shared" si="50"/>
        <v>52.5</v>
      </c>
      <c r="J92" s="62">
        <f t="shared" si="50"/>
        <v>5956.5</v>
      </c>
      <c r="K92" s="62">
        <f t="shared" si="50"/>
        <v>6211.93</v>
      </c>
    </row>
    <row r="93" spans="1:11" ht="36.75" customHeight="1" x14ac:dyDescent="0.25">
      <c r="A93" s="38" t="s">
        <v>124</v>
      </c>
      <c r="B93" s="39" t="s">
        <v>125</v>
      </c>
      <c r="C93" s="39"/>
      <c r="D93" s="40">
        <f t="shared" ref="D93:J93" si="51">D94+D96+D98+D100</f>
        <v>5904</v>
      </c>
      <c r="E93" s="40">
        <f t="shared" si="51"/>
        <v>0</v>
      </c>
      <c r="F93" s="63">
        <f t="shared" si="51"/>
        <v>5904</v>
      </c>
      <c r="G93" s="63">
        <f t="shared" si="51"/>
        <v>0</v>
      </c>
      <c r="H93" s="63">
        <f t="shared" si="51"/>
        <v>0</v>
      </c>
      <c r="I93" s="63">
        <f t="shared" si="51"/>
        <v>52.5</v>
      </c>
      <c r="J93" s="63">
        <f t="shared" si="51"/>
        <v>5956.5</v>
      </c>
      <c r="K93" s="63">
        <f t="shared" ref="K93" si="52">K94+K96+K98+K100</f>
        <v>6211.93</v>
      </c>
    </row>
    <row r="94" spans="1:11" ht="144.75" customHeight="1" x14ac:dyDescent="0.25">
      <c r="A94" s="44" t="s">
        <v>221</v>
      </c>
      <c r="B94" s="37" t="s">
        <v>125</v>
      </c>
      <c r="C94" s="37"/>
      <c r="D94" s="36">
        <f t="shared" ref="D94:K94" si="53">D95</f>
        <v>2750</v>
      </c>
      <c r="E94" s="36">
        <f t="shared" si="53"/>
        <v>0</v>
      </c>
      <c r="F94" s="46">
        <f t="shared" si="53"/>
        <v>2750</v>
      </c>
      <c r="G94" s="46">
        <f t="shared" si="53"/>
        <v>0</v>
      </c>
      <c r="H94" s="46">
        <f t="shared" si="53"/>
        <v>0</v>
      </c>
      <c r="I94" s="46">
        <f t="shared" si="53"/>
        <v>0</v>
      </c>
      <c r="J94" s="46">
        <f t="shared" si="53"/>
        <v>2750</v>
      </c>
      <c r="K94" s="46">
        <f t="shared" si="53"/>
        <v>2751.86</v>
      </c>
    </row>
    <row r="95" spans="1:11" ht="24" customHeight="1" x14ac:dyDescent="0.25">
      <c r="A95" s="10" t="s">
        <v>74</v>
      </c>
      <c r="B95" s="11" t="s">
        <v>125</v>
      </c>
      <c r="C95" s="11" t="s">
        <v>76</v>
      </c>
      <c r="D95" s="4">
        <v>2750</v>
      </c>
      <c r="E95" s="4"/>
      <c r="F95" s="16">
        <f>D95+E95</f>
        <v>2750</v>
      </c>
      <c r="G95" s="16"/>
      <c r="H95" s="16"/>
      <c r="I95" s="16"/>
      <c r="J95" s="16">
        <f>F95+I95</f>
        <v>2750</v>
      </c>
      <c r="K95" s="16">
        <v>2751.86</v>
      </c>
    </row>
    <row r="96" spans="1:11" ht="130.5" customHeight="1" x14ac:dyDescent="0.25">
      <c r="A96" s="44" t="s">
        <v>217</v>
      </c>
      <c r="B96" s="37" t="s">
        <v>126</v>
      </c>
      <c r="C96" s="37"/>
      <c r="D96" s="36">
        <f t="shared" ref="D96:K96" si="54">D97</f>
        <v>1739</v>
      </c>
      <c r="E96" s="36">
        <f t="shared" si="54"/>
        <v>0</v>
      </c>
      <c r="F96" s="46">
        <f t="shared" si="54"/>
        <v>1739</v>
      </c>
      <c r="G96" s="46">
        <f t="shared" si="54"/>
        <v>0</v>
      </c>
      <c r="H96" s="46">
        <f t="shared" si="54"/>
        <v>0</v>
      </c>
      <c r="I96" s="46">
        <f t="shared" si="54"/>
        <v>77</v>
      </c>
      <c r="J96" s="46">
        <f t="shared" si="54"/>
        <v>1816</v>
      </c>
      <c r="K96" s="46">
        <f t="shared" si="54"/>
        <v>2170.4299999999998</v>
      </c>
    </row>
    <row r="97" spans="1:11" ht="24" customHeight="1" x14ac:dyDescent="0.25">
      <c r="A97" s="10" t="s">
        <v>74</v>
      </c>
      <c r="B97" s="11" t="s">
        <v>126</v>
      </c>
      <c r="C97" s="11" t="s">
        <v>76</v>
      </c>
      <c r="D97" s="4">
        <f>1000+150+250+139+100+100</f>
        <v>1739</v>
      </c>
      <c r="E97" s="4"/>
      <c r="F97" s="16">
        <f>D97+E97</f>
        <v>1739</v>
      </c>
      <c r="G97" s="16"/>
      <c r="H97" s="16"/>
      <c r="I97" s="16">
        <v>77</v>
      </c>
      <c r="J97" s="16">
        <f>F97+I97</f>
        <v>1816</v>
      </c>
      <c r="K97" s="16">
        <v>2170.4299999999998</v>
      </c>
    </row>
    <row r="98" spans="1:11" ht="110.25" customHeight="1" x14ac:dyDescent="0.25">
      <c r="A98" s="44" t="s">
        <v>218</v>
      </c>
      <c r="B98" s="37" t="s">
        <v>127</v>
      </c>
      <c r="C98" s="37"/>
      <c r="D98" s="36">
        <f t="shared" ref="D98:K98" si="55">D99</f>
        <v>1380</v>
      </c>
      <c r="E98" s="36">
        <f t="shared" si="55"/>
        <v>0</v>
      </c>
      <c r="F98" s="46">
        <f t="shared" si="55"/>
        <v>1380</v>
      </c>
      <c r="G98" s="46">
        <f t="shared" si="55"/>
        <v>0</v>
      </c>
      <c r="H98" s="46">
        <f t="shared" si="55"/>
        <v>0</v>
      </c>
      <c r="I98" s="46">
        <f t="shared" si="55"/>
        <v>0</v>
      </c>
      <c r="J98" s="46">
        <f t="shared" si="55"/>
        <v>1380</v>
      </c>
      <c r="K98" s="46">
        <f t="shared" si="55"/>
        <v>1279.1400000000001</v>
      </c>
    </row>
    <row r="99" spans="1:11" ht="26.25" customHeight="1" x14ac:dyDescent="0.25">
      <c r="A99" s="10" t="s">
        <v>74</v>
      </c>
      <c r="B99" s="11" t="s">
        <v>127</v>
      </c>
      <c r="C99" s="11" t="s">
        <v>76</v>
      </c>
      <c r="D99" s="4">
        <v>1380</v>
      </c>
      <c r="E99" s="4"/>
      <c r="F99" s="16">
        <f>D99+E99</f>
        <v>1380</v>
      </c>
      <c r="G99" s="16"/>
      <c r="H99" s="16"/>
      <c r="I99" s="16"/>
      <c r="J99" s="16">
        <f>F99+I99</f>
        <v>1380</v>
      </c>
      <c r="K99" s="16">
        <v>1279.1400000000001</v>
      </c>
    </row>
    <row r="100" spans="1:11" ht="64.5" customHeight="1" x14ac:dyDescent="0.25">
      <c r="A100" s="44" t="s">
        <v>201</v>
      </c>
      <c r="B100" s="37" t="s">
        <v>129</v>
      </c>
      <c r="C100" s="37"/>
      <c r="D100" s="36">
        <f t="shared" ref="D100:K100" si="56">D101</f>
        <v>35</v>
      </c>
      <c r="E100" s="36">
        <f t="shared" si="56"/>
        <v>0</v>
      </c>
      <c r="F100" s="46">
        <f t="shared" si="56"/>
        <v>35</v>
      </c>
      <c r="G100" s="46">
        <f t="shared" si="56"/>
        <v>0</v>
      </c>
      <c r="H100" s="46">
        <f t="shared" si="56"/>
        <v>0</v>
      </c>
      <c r="I100" s="46">
        <f t="shared" si="56"/>
        <v>-24.5</v>
      </c>
      <c r="J100" s="46">
        <f t="shared" si="56"/>
        <v>10.5</v>
      </c>
      <c r="K100" s="46">
        <f t="shared" si="56"/>
        <v>10.5</v>
      </c>
    </row>
    <row r="101" spans="1:11" ht="31.5" x14ac:dyDescent="0.25">
      <c r="A101" s="10" t="s">
        <v>74</v>
      </c>
      <c r="B101" s="11" t="s">
        <v>129</v>
      </c>
      <c r="C101" s="11" t="s">
        <v>76</v>
      </c>
      <c r="D101" s="4">
        <v>35</v>
      </c>
      <c r="E101" s="4"/>
      <c r="F101" s="16">
        <f>D101+E101</f>
        <v>35</v>
      </c>
      <c r="G101" s="16"/>
      <c r="H101" s="16"/>
      <c r="I101" s="16">
        <v>-24.5</v>
      </c>
      <c r="J101" s="16">
        <f>F101+I101</f>
        <v>10.5</v>
      </c>
      <c r="K101" s="16">
        <v>10.5</v>
      </c>
    </row>
    <row r="102" spans="1:11" ht="48.75" customHeight="1" x14ac:dyDescent="0.25">
      <c r="A102" s="24" t="s">
        <v>61</v>
      </c>
      <c r="B102" s="25" t="s">
        <v>62</v>
      </c>
      <c r="C102" s="25"/>
      <c r="D102" s="26">
        <f t="shared" ref="D102:K102" si="57">D103</f>
        <v>7817.79</v>
      </c>
      <c r="E102" s="26">
        <f t="shared" si="57"/>
        <v>-1513.31</v>
      </c>
      <c r="F102" s="27">
        <f t="shared" si="57"/>
        <v>6304.48</v>
      </c>
      <c r="G102" s="27">
        <f t="shared" si="57"/>
        <v>0</v>
      </c>
      <c r="H102" s="27">
        <f t="shared" si="57"/>
        <v>0</v>
      </c>
      <c r="I102" s="27">
        <f t="shared" si="57"/>
        <v>0</v>
      </c>
      <c r="J102" s="27">
        <f t="shared" si="57"/>
        <v>6304.48</v>
      </c>
      <c r="K102" s="27">
        <f t="shared" si="57"/>
        <v>6526.8700000000008</v>
      </c>
    </row>
    <row r="103" spans="1:11" ht="47.25" x14ac:dyDescent="0.25">
      <c r="A103" s="21" t="s">
        <v>63</v>
      </c>
      <c r="B103" s="22" t="s">
        <v>191</v>
      </c>
      <c r="C103" s="22"/>
      <c r="D103" s="23">
        <f t="shared" ref="D103:J103" si="58">D104+D106</f>
        <v>7817.79</v>
      </c>
      <c r="E103" s="23">
        <f t="shared" si="58"/>
        <v>-1513.31</v>
      </c>
      <c r="F103" s="28">
        <f t="shared" si="58"/>
        <v>6304.48</v>
      </c>
      <c r="G103" s="28">
        <f t="shared" si="58"/>
        <v>0</v>
      </c>
      <c r="H103" s="28">
        <f t="shared" si="58"/>
        <v>0</v>
      </c>
      <c r="I103" s="28">
        <f t="shared" si="58"/>
        <v>0</v>
      </c>
      <c r="J103" s="28">
        <f t="shared" si="58"/>
        <v>6304.48</v>
      </c>
      <c r="K103" s="28">
        <f t="shared" ref="K103" si="59">K104+K106</f>
        <v>6526.8700000000008</v>
      </c>
    </row>
    <row r="104" spans="1:11" ht="63" x14ac:dyDescent="0.25">
      <c r="A104" s="44" t="s">
        <v>65</v>
      </c>
      <c r="B104" s="37" t="s">
        <v>64</v>
      </c>
      <c r="C104" s="37"/>
      <c r="D104" s="36">
        <f t="shared" ref="D104:K104" si="60">D105</f>
        <v>7566.56</v>
      </c>
      <c r="E104" s="36">
        <f t="shared" si="60"/>
        <v>-1513.31</v>
      </c>
      <c r="F104" s="46">
        <f t="shared" si="60"/>
        <v>6053.25</v>
      </c>
      <c r="G104" s="46">
        <f t="shared" si="60"/>
        <v>0</v>
      </c>
      <c r="H104" s="46">
        <f t="shared" si="60"/>
        <v>0</v>
      </c>
      <c r="I104" s="46">
        <f t="shared" si="60"/>
        <v>0</v>
      </c>
      <c r="J104" s="46">
        <f t="shared" si="60"/>
        <v>6053.25</v>
      </c>
      <c r="K104" s="46">
        <f t="shared" si="60"/>
        <v>6275.64</v>
      </c>
    </row>
    <row r="105" spans="1:11" ht="37.5" customHeight="1" x14ac:dyDescent="0.25">
      <c r="A105" s="10" t="s">
        <v>29</v>
      </c>
      <c r="B105" s="11" t="s">
        <v>64</v>
      </c>
      <c r="C105" s="11" t="s">
        <v>28</v>
      </c>
      <c r="D105" s="4">
        <v>7566.56</v>
      </c>
      <c r="E105" s="4">
        <v>-1513.31</v>
      </c>
      <c r="F105" s="16">
        <f>D105+E105</f>
        <v>6053.25</v>
      </c>
      <c r="G105" s="16"/>
      <c r="H105" s="16"/>
      <c r="I105" s="16"/>
      <c r="J105" s="16">
        <f>F105</f>
        <v>6053.25</v>
      </c>
      <c r="K105" s="16">
        <v>6275.64</v>
      </c>
    </row>
    <row r="106" spans="1:11" ht="81.75" customHeight="1" x14ac:dyDescent="0.25">
      <c r="A106" s="44" t="s">
        <v>72</v>
      </c>
      <c r="B106" s="37" t="s">
        <v>73</v>
      </c>
      <c r="C106" s="37"/>
      <c r="D106" s="36">
        <f t="shared" ref="D106:J106" si="61">D108</f>
        <v>251.23</v>
      </c>
      <c r="E106" s="36">
        <f t="shared" si="61"/>
        <v>0</v>
      </c>
      <c r="F106" s="46">
        <f t="shared" si="61"/>
        <v>251.23</v>
      </c>
      <c r="G106" s="46">
        <f t="shared" si="61"/>
        <v>0</v>
      </c>
      <c r="H106" s="46">
        <f t="shared" si="61"/>
        <v>0</v>
      </c>
      <c r="I106" s="46">
        <f t="shared" si="61"/>
        <v>0</v>
      </c>
      <c r="J106" s="46">
        <f t="shared" si="61"/>
        <v>251.23</v>
      </c>
      <c r="K106" s="46">
        <f>K107+K108</f>
        <v>251.23000000000002</v>
      </c>
    </row>
    <row r="107" spans="1:11" ht="78" customHeight="1" x14ac:dyDescent="0.25">
      <c r="A107" s="10" t="s">
        <v>33</v>
      </c>
      <c r="B107" s="11" t="s">
        <v>73</v>
      </c>
      <c r="C107" s="11" t="s">
        <v>34</v>
      </c>
      <c r="D107" s="4">
        <v>251.23</v>
      </c>
      <c r="E107" s="4"/>
      <c r="F107" s="16">
        <f>D107+E107</f>
        <v>251.23</v>
      </c>
      <c r="G107" s="16"/>
      <c r="H107" s="16"/>
      <c r="I107" s="16"/>
      <c r="J107" s="16">
        <f>F107+H107</f>
        <v>251.23</v>
      </c>
      <c r="K107" s="16">
        <v>104.37</v>
      </c>
    </row>
    <row r="108" spans="1:11" ht="36" customHeight="1" x14ac:dyDescent="0.25">
      <c r="A108" s="10" t="s">
        <v>35</v>
      </c>
      <c r="B108" s="11" t="s">
        <v>73</v>
      </c>
      <c r="C108" s="11" t="s">
        <v>36</v>
      </c>
      <c r="D108" s="4">
        <v>251.23</v>
      </c>
      <c r="E108" s="4"/>
      <c r="F108" s="16">
        <f>D108+E108</f>
        <v>251.23</v>
      </c>
      <c r="G108" s="16"/>
      <c r="H108" s="16"/>
      <c r="I108" s="16"/>
      <c r="J108" s="16">
        <f>F108+H108</f>
        <v>251.23</v>
      </c>
      <c r="K108" s="16">
        <v>146.86000000000001</v>
      </c>
    </row>
    <row r="109" spans="1:11" ht="38.25" customHeight="1" x14ac:dyDescent="0.25">
      <c r="A109" s="24" t="s">
        <v>67</v>
      </c>
      <c r="B109" s="25" t="s">
        <v>68</v>
      </c>
      <c r="C109" s="25"/>
      <c r="D109" s="26">
        <f t="shared" ref="D109:J109" si="62">D110+D113</f>
        <v>10238.640000000001</v>
      </c>
      <c r="E109" s="26">
        <f t="shared" si="62"/>
        <v>0</v>
      </c>
      <c r="F109" s="27">
        <f t="shared" si="62"/>
        <v>10238.640000000001</v>
      </c>
      <c r="G109" s="27">
        <f t="shared" si="62"/>
        <v>0</v>
      </c>
      <c r="H109" s="27">
        <f t="shared" si="62"/>
        <v>0</v>
      </c>
      <c r="I109" s="27">
        <f t="shared" si="62"/>
        <v>0</v>
      </c>
      <c r="J109" s="27">
        <f t="shared" si="62"/>
        <v>10238.640000000001</v>
      </c>
      <c r="K109" s="27">
        <f t="shared" ref="K109" si="63">K110+K113</f>
        <v>9294.14</v>
      </c>
    </row>
    <row r="110" spans="1:11" ht="33.75" customHeight="1" x14ac:dyDescent="0.25">
      <c r="A110" s="21" t="s">
        <v>69</v>
      </c>
      <c r="B110" s="22" t="s">
        <v>70</v>
      </c>
      <c r="C110" s="22"/>
      <c r="D110" s="23">
        <f t="shared" ref="D110:K111" si="64">D111</f>
        <v>1771.44</v>
      </c>
      <c r="E110" s="23">
        <f t="shared" si="64"/>
        <v>0</v>
      </c>
      <c r="F110" s="28">
        <f t="shared" si="64"/>
        <v>1771.44</v>
      </c>
      <c r="G110" s="28">
        <f t="shared" si="64"/>
        <v>0</v>
      </c>
      <c r="H110" s="28">
        <f t="shared" si="64"/>
        <v>0</v>
      </c>
      <c r="I110" s="28">
        <f t="shared" si="64"/>
        <v>0</v>
      </c>
      <c r="J110" s="28">
        <f t="shared" si="64"/>
        <v>1771.44</v>
      </c>
      <c r="K110" s="28">
        <f t="shared" si="64"/>
        <v>1771.44</v>
      </c>
    </row>
    <row r="111" spans="1:11" ht="84" customHeight="1" x14ac:dyDescent="0.25">
      <c r="A111" s="44" t="s">
        <v>71</v>
      </c>
      <c r="B111" s="37" t="s">
        <v>70</v>
      </c>
      <c r="C111" s="37"/>
      <c r="D111" s="36">
        <f t="shared" si="64"/>
        <v>1771.44</v>
      </c>
      <c r="E111" s="36">
        <f t="shared" si="64"/>
        <v>0</v>
      </c>
      <c r="F111" s="46">
        <f t="shared" si="64"/>
        <v>1771.44</v>
      </c>
      <c r="G111" s="46">
        <f t="shared" si="64"/>
        <v>0</v>
      </c>
      <c r="H111" s="46">
        <f t="shared" si="64"/>
        <v>0</v>
      </c>
      <c r="I111" s="46">
        <f t="shared" si="64"/>
        <v>0</v>
      </c>
      <c r="J111" s="46">
        <f t="shared" si="64"/>
        <v>1771.44</v>
      </c>
      <c r="K111" s="46">
        <f t="shared" si="64"/>
        <v>1771.44</v>
      </c>
    </row>
    <row r="112" spans="1:11" ht="82.5" customHeight="1" x14ac:dyDescent="0.25">
      <c r="A112" s="10" t="s">
        <v>33</v>
      </c>
      <c r="B112" s="11" t="s">
        <v>70</v>
      </c>
      <c r="C112" s="11" t="s">
        <v>34</v>
      </c>
      <c r="D112" s="4">
        <v>1771.44</v>
      </c>
      <c r="E112" s="4"/>
      <c r="F112" s="16">
        <f>D112+E112</f>
        <v>1771.44</v>
      </c>
      <c r="G112" s="16"/>
      <c r="H112" s="16"/>
      <c r="I112" s="16"/>
      <c r="J112" s="16">
        <f>F112+H112</f>
        <v>1771.44</v>
      </c>
      <c r="K112" s="16">
        <v>1771.44</v>
      </c>
    </row>
    <row r="113" spans="1:11" ht="103.5" customHeight="1" x14ac:dyDescent="0.25">
      <c r="A113" s="44" t="s">
        <v>15</v>
      </c>
      <c r="B113" s="37" t="s">
        <v>75</v>
      </c>
      <c r="C113" s="37"/>
      <c r="D113" s="36">
        <f t="shared" ref="D113:K113" si="65">D114</f>
        <v>8467.2000000000007</v>
      </c>
      <c r="E113" s="36">
        <f t="shared" si="65"/>
        <v>0</v>
      </c>
      <c r="F113" s="46">
        <f t="shared" si="65"/>
        <v>8467.2000000000007</v>
      </c>
      <c r="G113" s="46">
        <f t="shared" si="65"/>
        <v>0</v>
      </c>
      <c r="H113" s="46">
        <f t="shared" si="65"/>
        <v>0</v>
      </c>
      <c r="I113" s="46">
        <f t="shared" si="65"/>
        <v>0</v>
      </c>
      <c r="J113" s="46">
        <f t="shared" si="65"/>
        <v>8467.2000000000007</v>
      </c>
      <c r="K113" s="46">
        <f t="shared" si="65"/>
        <v>7522.7</v>
      </c>
    </row>
    <row r="114" spans="1:11" ht="30.75" customHeight="1" x14ac:dyDescent="0.25">
      <c r="A114" s="10" t="s">
        <v>74</v>
      </c>
      <c r="B114" s="11" t="s">
        <v>75</v>
      </c>
      <c r="C114" s="11" t="s">
        <v>76</v>
      </c>
      <c r="D114" s="4">
        <v>8467.2000000000007</v>
      </c>
      <c r="E114" s="4"/>
      <c r="F114" s="16">
        <f>D114+E114</f>
        <v>8467.2000000000007</v>
      </c>
      <c r="G114" s="16"/>
      <c r="H114" s="16"/>
      <c r="I114" s="16"/>
      <c r="J114" s="16">
        <f>F114+H114</f>
        <v>8467.2000000000007</v>
      </c>
      <c r="K114" s="16">
        <v>7522.7</v>
      </c>
    </row>
    <row r="115" spans="1:11" ht="32.25" customHeight="1" x14ac:dyDescent="0.25">
      <c r="A115" s="24" t="s">
        <v>86</v>
      </c>
      <c r="B115" s="25" t="s">
        <v>89</v>
      </c>
      <c r="C115" s="25"/>
      <c r="D115" s="48">
        <f t="shared" ref="D115:J115" si="66">D116+D125+D128</f>
        <v>7390.17</v>
      </c>
      <c r="E115" s="48">
        <f t="shared" si="66"/>
        <v>0</v>
      </c>
      <c r="F115" s="64">
        <f t="shared" si="66"/>
        <v>7390.17</v>
      </c>
      <c r="G115" s="64">
        <f t="shared" si="66"/>
        <v>0</v>
      </c>
      <c r="H115" s="64">
        <f t="shared" si="66"/>
        <v>0</v>
      </c>
      <c r="I115" s="64">
        <f t="shared" si="66"/>
        <v>-52.509999999999991</v>
      </c>
      <c r="J115" s="64">
        <f t="shared" si="66"/>
        <v>7337.66</v>
      </c>
      <c r="K115" s="64">
        <f t="shared" ref="K115" si="67">K116+K125+K128</f>
        <v>7331.66</v>
      </c>
    </row>
    <row r="116" spans="1:11" ht="31.5" x14ac:dyDescent="0.25">
      <c r="A116" s="21" t="s">
        <v>87</v>
      </c>
      <c r="B116" s="22" t="s">
        <v>194</v>
      </c>
      <c r="C116" s="22"/>
      <c r="D116" s="23">
        <f t="shared" ref="D116:J116" si="68">D117+D121</f>
        <v>4010.17</v>
      </c>
      <c r="E116" s="23">
        <f t="shared" si="68"/>
        <v>0</v>
      </c>
      <c r="F116" s="28">
        <f t="shared" si="68"/>
        <v>4010.17</v>
      </c>
      <c r="G116" s="28">
        <f t="shared" si="68"/>
        <v>0</v>
      </c>
      <c r="H116" s="28">
        <f t="shared" si="68"/>
        <v>0</v>
      </c>
      <c r="I116" s="28">
        <f t="shared" si="68"/>
        <v>0</v>
      </c>
      <c r="J116" s="28">
        <f t="shared" si="68"/>
        <v>4010.17</v>
      </c>
      <c r="K116" s="28">
        <f t="shared" ref="K116" si="69">K117+K121</f>
        <v>4010.17</v>
      </c>
    </row>
    <row r="117" spans="1:11" ht="38.25" customHeight="1" x14ac:dyDescent="0.25">
      <c r="A117" s="44" t="s">
        <v>130</v>
      </c>
      <c r="B117" s="37" t="s">
        <v>88</v>
      </c>
      <c r="C117" s="37"/>
      <c r="D117" s="36">
        <f t="shared" ref="D117:E117" si="70">D120</f>
        <v>2239.04</v>
      </c>
      <c r="E117" s="36">
        <f t="shared" si="70"/>
        <v>0</v>
      </c>
      <c r="F117" s="46">
        <f>F118+F119+F120</f>
        <v>2239.04</v>
      </c>
      <c r="G117" s="46">
        <f t="shared" ref="G117:J117" si="71">G118+G119+G120</f>
        <v>0</v>
      </c>
      <c r="H117" s="46">
        <f t="shared" si="71"/>
        <v>0</v>
      </c>
      <c r="I117" s="46">
        <f t="shared" si="71"/>
        <v>0</v>
      </c>
      <c r="J117" s="46">
        <f t="shared" si="71"/>
        <v>2239.04</v>
      </c>
      <c r="K117" s="46">
        <f>K118+K119+K120</f>
        <v>2239.04</v>
      </c>
    </row>
    <row r="118" spans="1:11" ht="37.5" customHeight="1" x14ac:dyDescent="0.25">
      <c r="A118" s="10" t="s">
        <v>35</v>
      </c>
      <c r="B118" s="11" t="s">
        <v>88</v>
      </c>
      <c r="C118" s="11" t="s">
        <v>36</v>
      </c>
      <c r="D118" s="4">
        <v>2239.04</v>
      </c>
      <c r="E118" s="4"/>
      <c r="F118" s="16">
        <f>D118+E118</f>
        <v>2239.04</v>
      </c>
      <c r="G118" s="16"/>
      <c r="H118" s="16"/>
      <c r="I118" s="16">
        <v>-2228.52</v>
      </c>
      <c r="J118" s="16">
        <f>F118+I118</f>
        <v>10.519999999999982</v>
      </c>
      <c r="K118" s="16"/>
    </row>
    <row r="119" spans="1:11" ht="30.75" customHeight="1" x14ac:dyDescent="0.25">
      <c r="A119" s="10" t="s">
        <v>74</v>
      </c>
      <c r="B119" s="11" t="s">
        <v>88</v>
      </c>
      <c r="C119" s="11" t="s">
        <v>76</v>
      </c>
      <c r="D119" s="4">
        <v>2239.04</v>
      </c>
      <c r="E119" s="4"/>
      <c r="F119" s="16"/>
      <c r="G119" s="16"/>
      <c r="H119" s="16"/>
      <c r="I119" s="16">
        <v>1356.6</v>
      </c>
      <c r="J119" s="16">
        <f>F119+I119</f>
        <v>1356.6</v>
      </c>
      <c r="K119" s="16">
        <v>1367.12</v>
      </c>
    </row>
    <row r="120" spans="1:11" ht="38.25" customHeight="1" x14ac:dyDescent="0.25">
      <c r="A120" s="10" t="s">
        <v>29</v>
      </c>
      <c r="B120" s="11" t="s">
        <v>88</v>
      </c>
      <c r="C120" s="11" t="s">
        <v>28</v>
      </c>
      <c r="D120" s="4">
        <v>2239.04</v>
      </c>
      <c r="E120" s="4"/>
      <c r="F120" s="16"/>
      <c r="G120" s="16"/>
      <c r="H120" s="16"/>
      <c r="I120" s="16">
        <v>871.92</v>
      </c>
      <c r="J120" s="16">
        <f>F120+I120</f>
        <v>871.92</v>
      </c>
      <c r="K120" s="16">
        <v>871.92</v>
      </c>
    </row>
    <row r="121" spans="1:11" ht="39.75" customHeight="1" x14ac:dyDescent="0.25">
      <c r="A121" s="44" t="s">
        <v>192</v>
      </c>
      <c r="B121" s="37" t="s">
        <v>193</v>
      </c>
      <c r="C121" s="37"/>
      <c r="D121" s="36">
        <f t="shared" ref="D121:E121" si="72">D124</f>
        <v>1771.13</v>
      </c>
      <c r="E121" s="36">
        <f t="shared" si="72"/>
        <v>0</v>
      </c>
      <c r="F121" s="46">
        <f>F122+F123+F124</f>
        <v>1771.13</v>
      </c>
      <c r="G121" s="46">
        <f t="shared" ref="G121:J121" si="73">G122+G123+G124</f>
        <v>0</v>
      </c>
      <c r="H121" s="46">
        <f t="shared" si="73"/>
        <v>0</v>
      </c>
      <c r="I121" s="46">
        <f t="shared" si="73"/>
        <v>0</v>
      </c>
      <c r="J121" s="46">
        <f t="shared" si="73"/>
        <v>1771.13</v>
      </c>
      <c r="K121" s="46">
        <f t="shared" ref="K121" si="74">K122+K123+K124</f>
        <v>1771.1299999999999</v>
      </c>
    </row>
    <row r="122" spans="1:11" ht="37.5" customHeight="1" x14ac:dyDescent="0.25">
      <c r="A122" s="10" t="s">
        <v>35</v>
      </c>
      <c r="B122" s="11" t="s">
        <v>193</v>
      </c>
      <c r="C122" s="11" t="s">
        <v>36</v>
      </c>
      <c r="D122" s="4">
        <v>1771.13</v>
      </c>
      <c r="E122" s="4"/>
      <c r="F122" s="16">
        <f>D122+E122</f>
        <v>1771.13</v>
      </c>
      <c r="G122" s="16"/>
      <c r="H122" s="16"/>
      <c r="I122" s="16">
        <v>-1455.09</v>
      </c>
      <c r="J122" s="16">
        <f>F122+I122</f>
        <v>316.04000000000019</v>
      </c>
      <c r="K122" s="16"/>
    </row>
    <row r="123" spans="1:11" ht="26.25" customHeight="1" x14ac:dyDescent="0.25">
      <c r="A123" s="10" t="s">
        <v>74</v>
      </c>
      <c r="B123" s="11" t="s">
        <v>193</v>
      </c>
      <c r="C123" s="11" t="s">
        <v>76</v>
      </c>
      <c r="D123" s="4">
        <v>1771.13</v>
      </c>
      <c r="E123" s="4"/>
      <c r="F123" s="16"/>
      <c r="G123" s="16"/>
      <c r="H123" s="16"/>
      <c r="I123" s="16">
        <v>89.25</v>
      </c>
      <c r="J123" s="16">
        <f>F123+I123</f>
        <v>89.25</v>
      </c>
      <c r="K123" s="16">
        <v>405.29</v>
      </c>
    </row>
    <row r="124" spans="1:11" ht="34.5" customHeight="1" x14ac:dyDescent="0.25">
      <c r="A124" s="10" t="s">
        <v>29</v>
      </c>
      <c r="B124" s="11" t="s">
        <v>193</v>
      </c>
      <c r="C124" s="11" t="s">
        <v>28</v>
      </c>
      <c r="D124" s="4">
        <v>1771.13</v>
      </c>
      <c r="E124" s="4"/>
      <c r="F124" s="16"/>
      <c r="G124" s="16"/>
      <c r="H124" s="16"/>
      <c r="I124" s="16">
        <v>1365.84</v>
      </c>
      <c r="J124" s="16">
        <f>F124+I124</f>
        <v>1365.84</v>
      </c>
      <c r="K124" s="16">
        <v>1365.84</v>
      </c>
    </row>
    <row r="125" spans="1:11" ht="41.25" customHeight="1" x14ac:dyDescent="0.25">
      <c r="A125" s="44" t="s">
        <v>131</v>
      </c>
      <c r="B125" s="37" t="s">
        <v>132</v>
      </c>
      <c r="C125" s="37"/>
      <c r="D125" s="36">
        <f t="shared" ref="D125:I125" si="75">D127</f>
        <v>3280</v>
      </c>
      <c r="E125" s="36">
        <f t="shared" si="75"/>
        <v>0</v>
      </c>
      <c r="F125" s="46">
        <f t="shared" si="75"/>
        <v>3280</v>
      </c>
      <c r="G125" s="46">
        <f t="shared" si="75"/>
        <v>0</v>
      </c>
      <c r="H125" s="46">
        <f t="shared" si="75"/>
        <v>0</v>
      </c>
      <c r="I125" s="46">
        <f t="shared" si="75"/>
        <v>47.09</v>
      </c>
      <c r="J125" s="46">
        <f>J126+J127</f>
        <v>3327.09</v>
      </c>
      <c r="K125" s="46">
        <f>K126+K127</f>
        <v>3321.09</v>
      </c>
    </row>
    <row r="126" spans="1:11" ht="39" customHeight="1" x14ac:dyDescent="0.25">
      <c r="A126" s="10" t="s">
        <v>35</v>
      </c>
      <c r="B126" s="11" t="s">
        <v>132</v>
      </c>
      <c r="C126" s="11" t="s">
        <v>36</v>
      </c>
      <c r="D126" s="4">
        <v>3280</v>
      </c>
      <c r="E126" s="4"/>
      <c r="F126" s="16">
        <f>D126+E126</f>
        <v>3280</v>
      </c>
      <c r="G126" s="16"/>
      <c r="H126" s="16"/>
      <c r="I126" s="16">
        <v>47.09</v>
      </c>
      <c r="J126" s="16">
        <f>F126+I126</f>
        <v>3327.09</v>
      </c>
      <c r="K126" s="16">
        <v>7.0000000000000007E-2</v>
      </c>
    </row>
    <row r="127" spans="1:11" ht="36" customHeight="1" x14ac:dyDescent="0.25">
      <c r="A127" s="10" t="s">
        <v>29</v>
      </c>
      <c r="B127" s="11" t="s">
        <v>132</v>
      </c>
      <c r="C127" s="11" t="s">
        <v>28</v>
      </c>
      <c r="D127" s="4">
        <v>3280</v>
      </c>
      <c r="E127" s="4"/>
      <c r="F127" s="16">
        <f>D127+E127</f>
        <v>3280</v>
      </c>
      <c r="G127" s="16"/>
      <c r="H127" s="16"/>
      <c r="I127" s="16">
        <v>47.09</v>
      </c>
      <c r="J127" s="16">
        <v>0</v>
      </c>
      <c r="K127" s="16">
        <v>3321.02</v>
      </c>
    </row>
    <row r="128" spans="1:11" ht="25.5" customHeight="1" x14ac:dyDescent="0.25">
      <c r="A128" s="44" t="s">
        <v>133</v>
      </c>
      <c r="B128" s="37" t="s">
        <v>134</v>
      </c>
      <c r="C128" s="37"/>
      <c r="D128" s="36">
        <f t="shared" ref="D128:K128" si="76">D129</f>
        <v>100</v>
      </c>
      <c r="E128" s="36">
        <f t="shared" si="76"/>
        <v>0</v>
      </c>
      <c r="F128" s="46">
        <f t="shared" si="76"/>
        <v>100</v>
      </c>
      <c r="G128" s="46">
        <f t="shared" si="76"/>
        <v>0</v>
      </c>
      <c r="H128" s="46">
        <f t="shared" si="76"/>
        <v>0</v>
      </c>
      <c r="I128" s="46">
        <f t="shared" si="76"/>
        <v>-99.6</v>
      </c>
      <c r="J128" s="46">
        <f t="shared" si="76"/>
        <v>0.40000000000000568</v>
      </c>
      <c r="K128" s="46">
        <f t="shared" si="76"/>
        <v>0.4</v>
      </c>
    </row>
    <row r="129" spans="1:11" ht="32.25" customHeight="1" x14ac:dyDescent="0.25">
      <c r="A129" s="10" t="s">
        <v>35</v>
      </c>
      <c r="B129" s="11" t="s">
        <v>134</v>
      </c>
      <c r="C129" s="11" t="s">
        <v>36</v>
      </c>
      <c r="D129" s="4">
        <v>100</v>
      </c>
      <c r="E129" s="4"/>
      <c r="F129" s="16">
        <f>D129+E129</f>
        <v>100</v>
      </c>
      <c r="G129" s="16"/>
      <c r="H129" s="16"/>
      <c r="I129" s="16">
        <v>-99.6</v>
      </c>
      <c r="J129" s="16">
        <f>F129+I129</f>
        <v>0.40000000000000568</v>
      </c>
      <c r="K129" s="16">
        <v>0.4</v>
      </c>
    </row>
    <row r="130" spans="1:11" ht="24" customHeight="1" x14ac:dyDescent="0.25">
      <c r="A130" s="26" t="s">
        <v>3</v>
      </c>
      <c r="B130" s="25" t="s">
        <v>136</v>
      </c>
      <c r="C130" s="25"/>
      <c r="D130" s="26">
        <f t="shared" ref="D130:J130" si="77">D132</f>
        <v>100</v>
      </c>
      <c r="E130" s="26">
        <f t="shared" si="77"/>
        <v>0</v>
      </c>
      <c r="F130" s="27">
        <f t="shared" si="77"/>
        <v>100</v>
      </c>
      <c r="G130" s="27">
        <f t="shared" si="77"/>
        <v>0</v>
      </c>
      <c r="H130" s="27">
        <f t="shared" si="77"/>
        <v>0</v>
      </c>
      <c r="I130" s="27">
        <f t="shared" si="77"/>
        <v>0</v>
      </c>
      <c r="J130" s="27">
        <f t="shared" si="77"/>
        <v>100</v>
      </c>
      <c r="K130" s="27">
        <f t="shared" ref="K130" si="78">K132</f>
        <v>100</v>
      </c>
    </row>
    <row r="131" spans="1:11" ht="54" customHeight="1" x14ac:dyDescent="0.25">
      <c r="A131" s="21" t="s">
        <v>135</v>
      </c>
      <c r="B131" s="22" t="s">
        <v>136</v>
      </c>
      <c r="C131" s="22"/>
      <c r="D131" s="23">
        <f t="shared" ref="D131:K132" si="79">D132</f>
        <v>100</v>
      </c>
      <c r="E131" s="23">
        <f t="shared" si="79"/>
        <v>0</v>
      </c>
      <c r="F131" s="28">
        <f t="shared" si="79"/>
        <v>100</v>
      </c>
      <c r="G131" s="28">
        <f t="shared" si="79"/>
        <v>0</v>
      </c>
      <c r="H131" s="28">
        <f t="shared" si="79"/>
        <v>0</v>
      </c>
      <c r="I131" s="28">
        <f t="shared" si="79"/>
        <v>0</v>
      </c>
      <c r="J131" s="28">
        <f t="shared" si="79"/>
        <v>100</v>
      </c>
      <c r="K131" s="28">
        <f t="shared" si="79"/>
        <v>100</v>
      </c>
    </row>
    <row r="132" spans="1:11" ht="35.25" customHeight="1" x14ac:dyDescent="0.25">
      <c r="A132" s="45" t="s">
        <v>16</v>
      </c>
      <c r="B132" s="37" t="s">
        <v>136</v>
      </c>
      <c r="C132" s="37"/>
      <c r="D132" s="36">
        <f t="shared" si="79"/>
        <v>100</v>
      </c>
      <c r="E132" s="36">
        <f t="shared" si="79"/>
        <v>0</v>
      </c>
      <c r="F132" s="46">
        <f t="shared" si="79"/>
        <v>100</v>
      </c>
      <c r="G132" s="46">
        <f t="shared" si="79"/>
        <v>0</v>
      </c>
      <c r="H132" s="46">
        <f t="shared" si="79"/>
        <v>0</v>
      </c>
      <c r="I132" s="46">
        <f t="shared" si="79"/>
        <v>0</v>
      </c>
      <c r="J132" s="46">
        <f t="shared" si="79"/>
        <v>100</v>
      </c>
      <c r="K132" s="46">
        <f t="shared" si="79"/>
        <v>100</v>
      </c>
    </row>
    <row r="133" spans="1:11" ht="37.5" customHeight="1" x14ac:dyDescent="0.25">
      <c r="A133" s="12" t="s">
        <v>35</v>
      </c>
      <c r="B133" s="11" t="s">
        <v>136</v>
      </c>
      <c r="C133" s="11" t="s">
        <v>36</v>
      </c>
      <c r="D133" s="4">
        <v>100</v>
      </c>
      <c r="E133" s="4"/>
      <c r="F133" s="16">
        <f>D133+E133</f>
        <v>100</v>
      </c>
      <c r="G133" s="16"/>
      <c r="H133" s="16"/>
      <c r="I133" s="16"/>
      <c r="J133" s="16">
        <f>F133</f>
        <v>100</v>
      </c>
      <c r="K133" s="16">
        <v>100</v>
      </c>
    </row>
    <row r="134" spans="1:11" ht="26.25" customHeight="1" x14ac:dyDescent="0.25">
      <c r="A134" s="35" t="s">
        <v>137</v>
      </c>
      <c r="B134" s="25" t="s">
        <v>376</v>
      </c>
      <c r="C134" s="25"/>
      <c r="D134" s="26">
        <f t="shared" ref="D134:K134" si="80">D135</f>
        <v>3075.8900000000003</v>
      </c>
      <c r="E134" s="26">
        <f t="shared" si="80"/>
        <v>0</v>
      </c>
      <c r="F134" s="27">
        <f t="shared" si="80"/>
        <v>6966.1</v>
      </c>
      <c r="G134" s="27">
        <f t="shared" si="80"/>
        <v>0</v>
      </c>
      <c r="H134" s="27">
        <f t="shared" si="80"/>
        <v>0</v>
      </c>
      <c r="I134" s="27">
        <f t="shared" si="80"/>
        <v>0</v>
      </c>
      <c r="J134" s="27">
        <f t="shared" si="80"/>
        <v>5892.43</v>
      </c>
      <c r="K134" s="27">
        <f t="shared" si="80"/>
        <v>5544</v>
      </c>
    </row>
    <row r="135" spans="1:11" ht="45.75" customHeight="1" x14ac:dyDescent="0.25">
      <c r="A135" s="47" t="s">
        <v>138</v>
      </c>
      <c r="B135" s="22" t="s">
        <v>376</v>
      </c>
      <c r="C135" s="22"/>
      <c r="D135" s="23">
        <f t="shared" ref="D135:J135" si="81">D136+D138</f>
        <v>3075.8900000000003</v>
      </c>
      <c r="E135" s="23">
        <f t="shared" si="81"/>
        <v>0</v>
      </c>
      <c r="F135" s="28">
        <f t="shared" si="81"/>
        <v>6966.1</v>
      </c>
      <c r="G135" s="28">
        <f t="shared" si="81"/>
        <v>0</v>
      </c>
      <c r="H135" s="28">
        <f t="shared" si="81"/>
        <v>0</v>
      </c>
      <c r="I135" s="28">
        <f t="shared" si="81"/>
        <v>0</v>
      </c>
      <c r="J135" s="28">
        <f t="shared" si="81"/>
        <v>5892.43</v>
      </c>
      <c r="K135" s="28">
        <f t="shared" ref="K135" si="82">K136+K138</f>
        <v>5544</v>
      </c>
    </row>
    <row r="136" spans="1:11" ht="40.5" customHeight="1" x14ac:dyDescent="0.25">
      <c r="A136" s="45" t="s">
        <v>195</v>
      </c>
      <c r="B136" s="37" t="s">
        <v>375</v>
      </c>
      <c r="C136" s="22"/>
      <c r="D136" s="36">
        <f t="shared" ref="D136:K136" si="83">D137</f>
        <v>2718.11</v>
      </c>
      <c r="E136" s="36">
        <f t="shared" si="83"/>
        <v>0</v>
      </c>
      <c r="F136" s="46">
        <f t="shared" si="83"/>
        <v>2718.11</v>
      </c>
      <c r="G136" s="46">
        <f t="shared" si="83"/>
        <v>0</v>
      </c>
      <c r="H136" s="46">
        <f t="shared" si="83"/>
        <v>0</v>
      </c>
      <c r="I136" s="46">
        <f t="shared" si="83"/>
        <v>0</v>
      </c>
      <c r="J136" s="46">
        <f t="shared" si="83"/>
        <v>2462.86</v>
      </c>
      <c r="K136" s="46">
        <f t="shared" si="83"/>
        <v>2114.4299999999998</v>
      </c>
    </row>
    <row r="137" spans="1:11" ht="26.25" customHeight="1" x14ac:dyDescent="0.25">
      <c r="A137" s="12" t="s">
        <v>74</v>
      </c>
      <c r="B137" s="11" t="s">
        <v>375</v>
      </c>
      <c r="C137" s="11" t="s">
        <v>76</v>
      </c>
      <c r="D137" s="4">
        <v>2718.11</v>
      </c>
      <c r="E137" s="4"/>
      <c r="F137" s="16">
        <f>D137+E137</f>
        <v>2718.11</v>
      </c>
      <c r="G137" s="16"/>
      <c r="H137" s="16"/>
      <c r="I137" s="16"/>
      <c r="J137" s="16">
        <f>F137+I137-250-5.25</f>
        <v>2462.86</v>
      </c>
      <c r="K137" s="16">
        <v>2114.4299999999998</v>
      </c>
    </row>
    <row r="138" spans="1:11" ht="36.75" customHeight="1" x14ac:dyDescent="0.25">
      <c r="A138" s="45" t="s">
        <v>228</v>
      </c>
      <c r="B138" s="37" t="s">
        <v>375</v>
      </c>
      <c r="C138" s="37"/>
      <c r="D138" s="36">
        <f t="shared" ref="D138:K138" si="84">D139</f>
        <v>357.78</v>
      </c>
      <c r="E138" s="36">
        <f t="shared" si="84"/>
        <v>0</v>
      </c>
      <c r="F138" s="46">
        <f t="shared" si="84"/>
        <v>4247.99</v>
      </c>
      <c r="G138" s="46">
        <f t="shared" si="84"/>
        <v>0</v>
      </c>
      <c r="H138" s="46">
        <f t="shared" si="84"/>
        <v>0</v>
      </c>
      <c r="I138" s="46">
        <f t="shared" si="84"/>
        <v>0</v>
      </c>
      <c r="J138" s="46">
        <f t="shared" si="84"/>
        <v>3429.5699999999997</v>
      </c>
      <c r="K138" s="46">
        <f t="shared" si="84"/>
        <v>3429.57</v>
      </c>
    </row>
    <row r="139" spans="1:11" ht="25.5" customHeight="1" x14ac:dyDescent="0.25">
      <c r="A139" s="12" t="s">
        <v>74</v>
      </c>
      <c r="B139" s="11" t="s">
        <v>375</v>
      </c>
      <c r="C139" s="11" t="s">
        <v>76</v>
      </c>
      <c r="D139" s="4">
        <v>357.78</v>
      </c>
      <c r="E139" s="4"/>
      <c r="F139" s="16">
        <f>D139+E139+3890.21</f>
        <v>4247.99</v>
      </c>
      <c r="G139" s="16"/>
      <c r="H139" s="16"/>
      <c r="I139" s="16"/>
      <c r="J139" s="16">
        <f>F139+H139-818.42</f>
        <v>3429.5699999999997</v>
      </c>
      <c r="K139" s="16">
        <v>3429.57</v>
      </c>
    </row>
    <row r="140" spans="1:11" ht="23.25" customHeight="1" x14ac:dyDescent="0.25">
      <c r="A140" s="5" t="s">
        <v>4</v>
      </c>
      <c r="B140" s="7" t="s">
        <v>141</v>
      </c>
      <c r="C140" s="7"/>
      <c r="D140" s="15">
        <f>D141+D145+D149+D153+D158+D156</f>
        <v>54137.69</v>
      </c>
      <c r="E140" s="15" t="e">
        <f>E141+E145+E149+E153+E158+E156+#REF!</f>
        <v>#REF!</v>
      </c>
      <c r="F140" s="15">
        <f t="shared" ref="F140:K140" si="85">F141+F145+F149+F153+F158+F156+F161+F163</f>
        <v>59904.639999999999</v>
      </c>
      <c r="G140" s="15">
        <f t="shared" si="85"/>
        <v>2481.13</v>
      </c>
      <c r="H140" s="15">
        <f t="shared" si="85"/>
        <v>-0.01</v>
      </c>
      <c r="I140" s="15">
        <f t="shared" si="85"/>
        <v>1000</v>
      </c>
      <c r="J140" s="15">
        <f t="shared" si="85"/>
        <v>63385.760000000002</v>
      </c>
      <c r="K140" s="15">
        <f t="shared" si="85"/>
        <v>71024.76999999999</v>
      </c>
    </row>
    <row r="141" spans="1:11" ht="72" customHeight="1" x14ac:dyDescent="0.25">
      <c r="A141" s="21" t="s">
        <v>139</v>
      </c>
      <c r="B141" s="22" t="s">
        <v>144</v>
      </c>
      <c r="C141" s="22"/>
      <c r="D141" s="28">
        <f t="shared" ref="D141:K141" si="86">D142</f>
        <v>14000</v>
      </c>
      <c r="E141" s="28">
        <f t="shared" si="86"/>
        <v>0</v>
      </c>
      <c r="F141" s="28">
        <f t="shared" si="86"/>
        <v>14000</v>
      </c>
      <c r="G141" s="28">
        <f t="shared" si="86"/>
        <v>1309.08</v>
      </c>
      <c r="H141" s="28">
        <f t="shared" si="86"/>
        <v>0</v>
      </c>
      <c r="I141" s="28">
        <f t="shared" si="86"/>
        <v>0</v>
      </c>
      <c r="J141" s="28">
        <f t="shared" si="86"/>
        <v>15309.08</v>
      </c>
      <c r="K141" s="28">
        <f t="shared" si="86"/>
        <v>15409.16</v>
      </c>
    </row>
    <row r="142" spans="1:11" ht="37.5" customHeight="1" x14ac:dyDescent="0.25">
      <c r="A142" s="44" t="s">
        <v>140</v>
      </c>
      <c r="B142" s="37" t="s">
        <v>144</v>
      </c>
      <c r="C142" s="37"/>
      <c r="D142" s="46">
        <f>D144</f>
        <v>14000</v>
      </c>
      <c r="E142" s="46">
        <f>E144</f>
        <v>0</v>
      </c>
      <c r="F142" s="46">
        <f>F143+F144</f>
        <v>14000</v>
      </c>
      <c r="G142" s="46">
        <f t="shared" ref="G142:J142" si="87">G143+G144</f>
        <v>1309.08</v>
      </c>
      <c r="H142" s="46">
        <f t="shared" si="87"/>
        <v>0</v>
      </c>
      <c r="I142" s="46">
        <f t="shared" si="87"/>
        <v>0</v>
      </c>
      <c r="J142" s="46">
        <f t="shared" si="87"/>
        <v>15309.08</v>
      </c>
      <c r="K142" s="46">
        <f t="shared" ref="K142" si="88">K143+K144</f>
        <v>15409.16</v>
      </c>
    </row>
    <row r="143" spans="1:11" ht="31.5" customHeight="1" x14ac:dyDescent="0.25">
      <c r="A143" s="10" t="s">
        <v>35</v>
      </c>
      <c r="B143" s="11" t="s">
        <v>144</v>
      </c>
      <c r="C143" s="11" t="s">
        <v>36</v>
      </c>
      <c r="D143" s="16">
        <v>14000</v>
      </c>
      <c r="E143" s="16"/>
      <c r="F143" s="16"/>
      <c r="G143" s="16">
        <v>1309.08</v>
      </c>
      <c r="H143" s="16"/>
      <c r="I143" s="16"/>
      <c r="J143" s="16">
        <f>F143+G143+I143</f>
        <v>1309.08</v>
      </c>
      <c r="K143" s="16">
        <v>1409.16</v>
      </c>
    </row>
    <row r="144" spans="1:11" ht="39.75" customHeight="1" x14ac:dyDescent="0.25">
      <c r="A144" s="10" t="s">
        <v>29</v>
      </c>
      <c r="B144" s="11" t="s">
        <v>144</v>
      </c>
      <c r="C144" s="11" t="s">
        <v>28</v>
      </c>
      <c r="D144" s="16">
        <v>14000</v>
      </c>
      <c r="E144" s="16"/>
      <c r="F144" s="16">
        <f>D144+E144</f>
        <v>14000</v>
      </c>
      <c r="G144" s="16"/>
      <c r="H144" s="16"/>
      <c r="I144" s="16"/>
      <c r="J144" s="16">
        <f>F144+G144+I144</f>
        <v>14000</v>
      </c>
      <c r="K144" s="16">
        <v>14000</v>
      </c>
    </row>
    <row r="145" spans="1:11" ht="44.25" customHeight="1" x14ac:dyDescent="0.25">
      <c r="A145" s="21" t="s">
        <v>142</v>
      </c>
      <c r="B145" s="22" t="s">
        <v>143</v>
      </c>
      <c r="C145" s="22"/>
      <c r="D145" s="28">
        <f t="shared" ref="D145:K145" si="89">D146</f>
        <v>35100</v>
      </c>
      <c r="E145" s="28">
        <f t="shared" si="89"/>
        <v>200</v>
      </c>
      <c r="F145" s="28">
        <f t="shared" si="89"/>
        <v>35300</v>
      </c>
      <c r="G145" s="28">
        <f t="shared" si="89"/>
        <v>772.26</v>
      </c>
      <c r="H145" s="28">
        <f t="shared" si="89"/>
        <v>0</v>
      </c>
      <c r="I145" s="28">
        <f t="shared" si="89"/>
        <v>1000</v>
      </c>
      <c r="J145" s="28">
        <f t="shared" si="89"/>
        <v>37072.26</v>
      </c>
      <c r="K145" s="28">
        <f t="shared" si="89"/>
        <v>41868.46</v>
      </c>
    </row>
    <row r="146" spans="1:11" ht="42" customHeight="1" x14ac:dyDescent="0.25">
      <c r="A146" s="44" t="s">
        <v>145</v>
      </c>
      <c r="B146" s="37" t="s">
        <v>143</v>
      </c>
      <c r="C146" s="37"/>
      <c r="D146" s="46">
        <f>D148</f>
        <v>35100</v>
      </c>
      <c r="E146" s="46">
        <f>E148</f>
        <v>200</v>
      </c>
      <c r="F146" s="46">
        <f>F147+F148</f>
        <v>35300</v>
      </c>
      <c r="G146" s="46">
        <f t="shared" ref="G146:J146" si="90">G147+G148</f>
        <v>772.26</v>
      </c>
      <c r="H146" s="46">
        <f t="shared" si="90"/>
        <v>0</v>
      </c>
      <c r="I146" s="46">
        <f t="shared" si="90"/>
        <v>1000</v>
      </c>
      <c r="J146" s="46">
        <f t="shared" si="90"/>
        <v>37072.26</v>
      </c>
      <c r="K146" s="46">
        <f t="shared" ref="K146" si="91">K147+K148</f>
        <v>41868.46</v>
      </c>
    </row>
    <row r="147" spans="1:11" ht="39" customHeight="1" x14ac:dyDescent="0.25">
      <c r="A147" s="10" t="s">
        <v>35</v>
      </c>
      <c r="B147" s="11" t="s">
        <v>143</v>
      </c>
      <c r="C147" s="11" t="s">
        <v>36</v>
      </c>
      <c r="D147" s="16">
        <v>35100</v>
      </c>
      <c r="E147" s="16">
        <v>200</v>
      </c>
      <c r="F147" s="16"/>
      <c r="G147" s="16">
        <v>772.26</v>
      </c>
      <c r="H147" s="16"/>
      <c r="I147" s="16"/>
      <c r="J147" s="16">
        <f>F147+G147+I147</f>
        <v>772.26</v>
      </c>
      <c r="K147" s="16">
        <v>5568.46</v>
      </c>
    </row>
    <row r="148" spans="1:11" ht="39" customHeight="1" x14ac:dyDescent="0.25">
      <c r="A148" s="10" t="s">
        <v>29</v>
      </c>
      <c r="B148" s="11" t="s">
        <v>143</v>
      </c>
      <c r="C148" s="11" t="s">
        <v>28</v>
      </c>
      <c r="D148" s="16">
        <v>35100</v>
      </c>
      <c r="E148" s="16">
        <v>200</v>
      </c>
      <c r="F148" s="16">
        <f>D148+E148</f>
        <v>35300</v>
      </c>
      <c r="G148" s="16"/>
      <c r="H148" s="16"/>
      <c r="I148" s="16">
        <f>150-150+1000</f>
        <v>1000</v>
      </c>
      <c r="J148" s="16">
        <f>F148+G148+I148</f>
        <v>36300</v>
      </c>
      <c r="K148" s="16">
        <v>36300</v>
      </c>
    </row>
    <row r="149" spans="1:11" ht="35.25" customHeight="1" x14ac:dyDescent="0.25">
      <c r="A149" s="21" t="s">
        <v>146</v>
      </c>
      <c r="B149" s="22" t="s">
        <v>148</v>
      </c>
      <c r="C149" s="22"/>
      <c r="D149" s="28">
        <f t="shared" ref="D149:K149" si="92">D150</f>
        <v>4100</v>
      </c>
      <c r="E149" s="28">
        <f t="shared" si="92"/>
        <v>0</v>
      </c>
      <c r="F149" s="28">
        <f t="shared" si="92"/>
        <v>4100</v>
      </c>
      <c r="G149" s="28">
        <f t="shared" si="92"/>
        <v>19.989999999999998</v>
      </c>
      <c r="H149" s="28">
        <f t="shared" si="92"/>
        <v>0</v>
      </c>
      <c r="I149" s="28">
        <f t="shared" si="92"/>
        <v>0</v>
      </c>
      <c r="J149" s="28">
        <f t="shared" si="92"/>
        <v>4119.99</v>
      </c>
      <c r="K149" s="28">
        <f t="shared" si="92"/>
        <v>4906.71</v>
      </c>
    </row>
    <row r="150" spans="1:11" ht="30" customHeight="1" x14ac:dyDescent="0.25">
      <c r="A150" s="44" t="s">
        <v>147</v>
      </c>
      <c r="B150" s="37" t="s">
        <v>148</v>
      </c>
      <c r="C150" s="37"/>
      <c r="D150" s="46">
        <f>D152</f>
        <v>4100</v>
      </c>
      <c r="E150" s="46">
        <f>E152</f>
        <v>0</v>
      </c>
      <c r="F150" s="46">
        <f>F151+F152</f>
        <v>4100</v>
      </c>
      <c r="G150" s="46">
        <f t="shared" ref="G150:I150" si="93">G151+G152</f>
        <v>19.989999999999998</v>
      </c>
      <c r="H150" s="46">
        <f t="shared" si="93"/>
        <v>0</v>
      </c>
      <c r="I150" s="46">
        <f t="shared" si="93"/>
        <v>0</v>
      </c>
      <c r="J150" s="46">
        <f>J151+J152</f>
        <v>4119.99</v>
      </c>
      <c r="K150" s="46">
        <f t="shared" ref="K150" si="94">K151+K152</f>
        <v>4906.71</v>
      </c>
    </row>
    <row r="151" spans="1:11" ht="41.25" customHeight="1" x14ac:dyDescent="0.25">
      <c r="A151" s="10" t="s">
        <v>35</v>
      </c>
      <c r="B151" s="11" t="s">
        <v>148</v>
      </c>
      <c r="C151" s="11" t="s">
        <v>36</v>
      </c>
      <c r="D151" s="16">
        <v>4100</v>
      </c>
      <c r="E151" s="16"/>
      <c r="F151" s="16"/>
      <c r="G151" s="16">
        <v>19.989999999999998</v>
      </c>
      <c r="H151" s="16"/>
      <c r="I151" s="16"/>
      <c r="J151" s="16">
        <f>F151+G151+I151</f>
        <v>19.989999999999998</v>
      </c>
      <c r="K151" s="16">
        <v>806.71</v>
      </c>
    </row>
    <row r="152" spans="1:11" ht="41.25" customHeight="1" x14ac:dyDescent="0.25">
      <c r="A152" s="10" t="s">
        <v>29</v>
      </c>
      <c r="B152" s="11" t="s">
        <v>148</v>
      </c>
      <c r="C152" s="11" t="s">
        <v>28</v>
      </c>
      <c r="D152" s="16">
        <v>4100</v>
      </c>
      <c r="E152" s="16"/>
      <c r="F152" s="16">
        <f>D152+E152</f>
        <v>4100</v>
      </c>
      <c r="G152" s="16"/>
      <c r="H152" s="16"/>
      <c r="I152" s="16"/>
      <c r="J152" s="16">
        <f>F152+G152+I152</f>
        <v>4100</v>
      </c>
      <c r="K152" s="16">
        <v>4100</v>
      </c>
    </row>
    <row r="153" spans="1:11" ht="31.5" customHeight="1" x14ac:dyDescent="0.25">
      <c r="A153" s="21" t="s">
        <v>149</v>
      </c>
      <c r="B153" s="22" t="s">
        <v>150</v>
      </c>
      <c r="C153" s="22"/>
      <c r="D153" s="23">
        <f t="shared" ref="D153:K154" si="95">D154</f>
        <v>420</v>
      </c>
      <c r="E153" s="23">
        <f t="shared" si="95"/>
        <v>0</v>
      </c>
      <c r="F153" s="28">
        <f t="shared" si="95"/>
        <v>420</v>
      </c>
      <c r="G153" s="28">
        <f t="shared" si="95"/>
        <v>0</v>
      </c>
      <c r="H153" s="28">
        <f t="shared" si="95"/>
        <v>0</v>
      </c>
      <c r="I153" s="28">
        <f t="shared" si="95"/>
        <v>0</v>
      </c>
      <c r="J153" s="28">
        <f t="shared" si="95"/>
        <v>420</v>
      </c>
      <c r="K153" s="28">
        <f t="shared" si="95"/>
        <v>420</v>
      </c>
    </row>
    <row r="154" spans="1:11" s="2" customFormat="1" ht="33" customHeight="1" x14ac:dyDescent="0.25">
      <c r="A154" s="44" t="s">
        <v>11</v>
      </c>
      <c r="B154" s="37" t="s">
        <v>150</v>
      </c>
      <c r="C154" s="37"/>
      <c r="D154" s="36">
        <f t="shared" si="95"/>
        <v>420</v>
      </c>
      <c r="E154" s="36">
        <f t="shared" si="95"/>
        <v>0</v>
      </c>
      <c r="F154" s="46">
        <f t="shared" si="95"/>
        <v>420</v>
      </c>
      <c r="G154" s="46">
        <f t="shared" si="95"/>
        <v>0</v>
      </c>
      <c r="H154" s="46">
        <f t="shared" si="95"/>
        <v>0</v>
      </c>
      <c r="I154" s="46">
        <f t="shared" si="95"/>
        <v>0</v>
      </c>
      <c r="J154" s="46">
        <f t="shared" si="95"/>
        <v>420</v>
      </c>
      <c r="K154" s="46">
        <f t="shared" si="95"/>
        <v>420</v>
      </c>
    </row>
    <row r="155" spans="1:11" s="2" customFormat="1" ht="34.5" customHeight="1" x14ac:dyDescent="0.25">
      <c r="A155" s="10" t="s">
        <v>35</v>
      </c>
      <c r="B155" s="11" t="s">
        <v>150</v>
      </c>
      <c r="C155" s="11" t="s">
        <v>36</v>
      </c>
      <c r="D155" s="4">
        <v>420</v>
      </c>
      <c r="E155" s="4"/>
      <c r="F155" s="16">
        <f>D155+E155</f>
        <v>420</v>
      </c>
      <c r="G155" s="16"/>
      <c r="H155" s="16"/>
      <c r="I155" s="16"/>
      <c r="J155" s="16">
        <f>F155+I155</f>
        <v>420</v>
      </c>
      <c r="K155" s="16">
        <v>420</v>
      </c>
    </row>
    <row r="156" spans="1:11" s="2" customFormat="1" ht="30" customHeight="1" x14ac:dyDescent="0.25">
      <c r="A156" s="44" t="s">
        <v>226</v>
      </c>
      <c r="B156" s="37" t="s">
        <v>227</v>
      </c>
      <c r="C156" s="37"/>
      <c r="D156" s="36">
        <f t="shared" ref="D156:K156" si="96">D157</f>
        <v>517.69000000000005</v>
      </c>
      <c r="E156" s="36">
        <f t="shared" si="96"/>
        <v>0</v>
      </c>
      <c r="F156" s="46">
        <f t="shared" si="96"/>
        <v>584.6400000000001</v>
      </c>
      <c r="G156" s="46">
        <f t="shared" si="96"/>
        <v>0</v>
      </c>
      <c r="H156" s="46">
        <f t="shared" si="96"/>
        <v>-0.01</v>
      </c>
      <c r="I156" s="46">
        <f t="shared" si="96"/>
        <v>0</v>
      </c>
      <c r="J156" s="46">
        <f t="shared" si="96"/>
        <v>584.63000000000011</v>
      </c>
      <c r="K156" s="46">
        <f t="shared" si="96"/>
        <v>584.63</v>
      </c>
    </row>
    <row r="157" spans="1:11" s="2" customFormat="1" ht="44.45" customHeight="1" x14ac:dyDescent="0.25">
      <c r="A157" s="10" t="s">
        <v>35</v>
      </c>
      <c r="B157" s="11" t="s">
        <v>227</v>
      </c>
      <c r="C157" s="11" t="s">
        <v>36</v>
      </c>
      <c r="D157" s="4">
        <v>517.69000000000005</v>
      </c>
      <c r="E157" s="4"/>
      <c r="F157" s="16">
        <f>D157+E157+66.95</f>
        <v>584.6400000000001</v>
      </c>
      <c r="G157" s="16"/>
      <c r="H157" s="16">
        <v>-0.01</v>
      </c>
      <c r="I157" s="16"/>
      <c r="J157" s="16">
        <f>F157+H157</f>
        <v>584.63000000000011</v>
      </c>
      <c r="K157" s="16">
        <f>417.68+166.95</f>
        <v>584.63</v>
      </c>
    </row>
    <row r="158" spans="1:11" s="2" customFormat="1" ht="33" customHeight="1" x14ac:dyDescent="0.25">
      <c r="A158" s="21" t="s">
        <v>161</v>
      </c>
      <c r="B158" s="22" t="s">
        <v>163</v>
      </c>
      <c r="C158" s="22"/>
      <c r="D158" s="23">
        <f t="shared" ref="D158:K159" si="97">D159</f>
        <v>0</v>
      </c>
      <c r="E158" s="23">
        <f t="shared" si="97"/>
        <v>5000</v>
      </c>
      <c r="F158" s="28">
        <f t="shared" si="97"/>
        <v>500</v>
      </c>
      <c r="G158" s="28">
        <f t="shared" si="97"/>
        <v>134.80000000000001</v>
      </c>
      <c r="H158" s="28">
        <f t="shared" si="97"/>
        <v>0</v>
      </c>
      <c r="I158" s="28">
        <f t="shared" si="97"/>
        <v>0</v>
      </c>
      <c r="J158" s="28">
        <f t="shared" si="97"/>
        <v>634.79999999999995</v>
      </c>
      <c r="K158" s="28">
        <f t="shared" si="97"/>
        <v>1430.0700000000002</v>
      </c>
    </row>
    <row r="159" spans="1:11" s="2" customFormat="1" ht="35.25" customHeight="1" x14ac:dyDescent="0.25">
      <c r="A159" s="44" t="s">
        <v>162</v>
      </c>
      <c r="B159" s="37" t="s">
        <v>163</v>
      </c>
      <c r="C159" s="37"/>
      <c r="D159" s="36">
        <f>D164</f>
        <v>0</v>
      </c>
      <c r="E159" s="36">
        <f>E164</f>
        <v>5000</v>
      </c>
      <c r="F159" s="46">
        <f>F160</f>
        <v>500</v>
      </c>
      <c r="G159" s="46">
        <f t="shared" si="97"/>
        <v>134.80000000000001</v>
      </c>
      <c r="H159" s="46">
        <f t="shared" si="97"/>
        <v>0</v>
      </c>
      <c r="I159" s="46">
        <f t="shared" si="97"/>
        <v>0</v>
      </c>
      <c r="J159" s="46">
        <f t="shared" si="97"/>
        <v>634.79999999999995</v>
      </c>
      <c r="K159" s="46">
        <f t="shared" si="97"/>
        <v>1430.0700000000002</v>
      </c>
    </row>
    <row r="160" spans="1:11" s="2" customFormat="1" ht="34.5" customHeight="1" x14ac:dyDescent="0.25">
      <c r="A160" s="10" t="s">
        <v>35</v>
      </c>
      <c r="B160" s="11" t="s">
        <v>163</v>
      </c>
      <c r="C160" s="11" t="s">
        <v>36</v>
      </c>
      <c r="D160" s="4">
        <v>500</v>
      </c>
      <c r="E160" s="4"/>
      <c r="F160" s="16">
        <f>D160+E160</f>
        <v>500</v>
      </c>
      <c r="G160" s="16">
        <v>134.80000000000001</v>
      </c>
      <c r="H160" s="16"/>
      <c r="I160" s="16"/>
      <c r="J160" s="16">
        <f>F160+G160</f>
        <v>634.79999999999995</v>
      </c>
      <c r="K160" s="16">
        <f>930.07+500</f>
        <v>1430.0700000000002</v>
      </c>
    </row>
    <row r="161" spans="1:11" s="71" customFormat="1" ht="52.5" customHeight="1" x14ac:dyDescent="0.25">
      <c r="A161" s="44" t="s">
        <v>318</v>
      </c>
      <c r="B161" s="37" t="s">
        <v>319</v>
      </c>
      <c r="C161" s="37"/>
      <c r="D161" s="36"/>
      <c r="E161" s="36"/>
      <c r="F161" s="46">
        <f>F162</f>
        <v>0</v>
      </c>
      <c r="G161" s="46">
        <f t="shared" ref="G161:K161" si="98">G162</f>
        <v>245</v>
      </c>
      <c r="H161" s="46">
        <f t="shared" si="98"/>
        <v>0</v>
      </c>
      <c r="I161" s="46">
        <f t="shared" si="98"/>
        <v>0</v>
      </c>
      <c r="J161" s="46">
        <f t="shared" si="98"/>
        <v>245</v>
      </c>
      <c r="K161" s="46">
        <f t="shared" si="98"/>
        <v>1405.74</v>
      </c>
    </row>
    <row r="162" spans="1:11" s="2" customFormat="1" ht="35.25" customHeight="1" x14ac:dyDescent="0.25">
      <c r="A162" s="10" t="s">
        <v>35</v>
      </c>
      <c r="B162" s="11" t="s">
        <v>319</v>
      </c>
      <c r="C162" s="11" t="s">
        <v>36</v>
      </c>
      <c r="D162" s="4"/>
      <c r="E162" s="4"/>
      <c r="F162" s="16"/>
      <c r="G162" s="16">
        <v>245</v>
      </c>
      <c r="H162" s="16"/>
      <c r="I162" s="16"/>
      <c r="J162" s="16">
        <f>G162+I162</f>
        <v>245</v>
      </c>
      <c r="K162" s="16">
        <v>1405.74</v>
      </c>
    </row>
    <row r="163" spans="1:11" ht="53.25" customHeight="1" x14ac:dyDescent="0.25">
      <c r="A163" s="44" t="s">
        <v>286</v>
      </c>
      <c r="B163" s="37" t="s">
        <v>287</v>
      </c>
      <c r="C163" s="37"/>
      <c r="D163" s="46"/>
      <c r="E163" s="46">
        <f t="shared" ref="E163:K163" si="99">E164</f>
        <v>5000</v>
      </c>
      <c r="F163" s="46">
        <f t="shared" si="99"/>
        <v>5000</v>
      </c>
      <c r="G163" s="46">
        <f t="shared" si="99"/>
        <v>0</v>
      </c>
      <c r="H163" s="46">
        <f>H164</f>
        <v>0</v>
      </c>
      <c r="I163" s="46">
        <f t="shared" si="99"/>
        <v>0</v>
      </c>
      <c r="J163" s="46">
        <f t="shared" si="99"/>
        <v>5000</v>
      </c>
      <c r="K163" s="46">
        <f t="shared" si="99"/>
        <v>5000</v>
      </c>
    </row>
    <row r="164" spans="1:11" ht="33.75" customHeight="1" x14ac:dyDescent="0.25">
      <c r="A164" s="10" t="s">
        <v>35</v>
      </c>
      <c r="B164" s="11" t="s">
        <v>287</v>
      </c>
      <c r="C164" s="11" t="s">
        <v>36</v>
      </c>
      <c r="D164" s="16"/>
      <c r="E164" s="16">
        <v>5000</v>
      </c>
      <c r="F164" s="16">
        <f>D164+E164</f>
        <v>5000</v>
      </c>
      <c r="G164" s="16"/>
      <c r="H164" s="16"/>
      <c r="I164" s="16"/>
      <c r="J164" s="16">
        <f>F164+H164</f>
        <v>5000</v>
      </c>
      <c r="K164" s="16">
        <v>5000</v>
      </c>
    </row>
    <row r="165" spans="1:11" ht="43.5" customHeight="1" x14ac:dyDescent="0.25">
      <c r="A165" s="5" t="s">
        <v>10</v>
      </c>
      <c r="B165" s="7" t="s">
        <v>59</v>
      </c>
      <c r="C165" s="7"/>
      <c r="D165" s="15" t="e">
        <f>D168+D171+#REF!+D201+#REF!</f>
        <v>#REF!</v>
      </c>
      <c r="E165" s="15" t="e">
        <f>E168+E171+#REF!+E201+#REF!+E207</f>
        <v>#REF!</v>
      </c>
      <c r="F165" s="15" t="e">
        <f>F166+F168+F171+#REF!+F200+F217+F221+F230</f>
        <v>#REF!</v>
      </c>
      <c r="G165" s="15" t="e">
        <f>G166+G168+G171+#REF!+G200+G217+G221+G230</f>
        <v>#REF!</v>
      </c>
      <c r="H165" s="15" t="e">
        <f>H166+H168+H171+#REF!+H200+H217+H221+H230</f>
        <v>#REF!</v>
      </c>
      <c r="I165" s="15" t="e">
        <f>I166+I168+I171+#REF!+I200+I217+I221+I230</f>
        <v>#REF!</v>
      </c>
      <c r="J165" s="15">
        <f>J166+J168+J171+J200+J217+J221+J224</f>
        <v>191958.00000000003</v>
      </c>
      <c r="K165" s="15">
        <f>K166+K168+K171+K200+K217+K221+K224</f>
        <v>270779.42000000004</v>
      </c>
    </row>
    <row r="166" spans="1:11" s="71" customFormat="1" ht="30" customHeight="1" x14ac:dyDescent="0.25">
      <c r="A166" s="44" t="s">
        <v>307</v>
      </c>
      <c r="B166" s="37" t="s">
        <v>308</v>
      </c>
      <c r="C166" s="37"/>
      <c r="D166" s="46"/>
      <c r="E166" s="46"/>
      <c r="F166" s="46"/>
      <c r="G166" s="46">
        <f>G167</f>
        <v>99.5</v>
      </c>
      <c r="H166" s="46">
        <f t="shared" ref="H166:K166" si="100">H167</f>
        <v>0</v>
      </c>
      <c r="I166" s="46">
        <f t="shared" si="100"/>
        <v>1328.35</v>
      </c>
      <c r="J166" s="46">
        <f t="shared" si="100"/>
        <v>1427.85</v>
      </c>
      <c r="K166" s="46">
        <f t="shared" si="100"/>
        <v>3819.26</v>
      </c>
    </row>
    <row r="167" spans="1:11" s="2" customFormat="1" ht="39" customHeight="1" x14ac:dyDescent="0.25">
      <c r="A167" s="10" t="s">
        <v>35</v>
      </c>
      <c r="B167" s="11" t="s">
        <v>308</v>
      </c>
      <c r="C167" s="11" t="s">
        <v>36</v>
      </c>
      <c r="D167" s="16"/>
      <c r="E167" s="16"/>
      <c r="F167" s="16"/>
      <c r="G167" s="16">
        <v>99.5</v>
      </c>
      <c r="H167" s="16"/>
      <c r="I167" s="16">
        <v>1328.35</v>
      </c>
      <c r="J167" s="16">
        <f>G167+I167</f>
        <v>1427.85</v>
      </c>
      <c r="K167" s="16">
        <v>3819.26</v>
      </c>
    </row>
    <row r="168" spans="1:11" ht="41.25" customHeight="1" x14ac:dyDescent="0.25">
      <c r="A168" s="21" t="s">
        <v>154</v>
      </c>
      <c r="B168" s="22" t="s">
        <v>77</v>
      </c>
      <c r="C168" s="22"/>
      <c r="D168" s="28">
        <f t="shared" ref="D168:K169" si="101">D169</f>
        <v>1800</v>
      </c>
      <c r="E168" s="28">
        <f t="shared" si="101"/>
        <v>0</v>
      </c>
      <c r="F168" s="28">
        <f t="shared" si="101"/>
        <v>1800</v>
      </c>
      <c r="G168" s="28">
        <f t="shared" si="101"/>
        <v>0</v>
      </c>
      <c r="H168" s="28">
        <f t="shared" si="101"/>
        <v>0</v>
      </c>
      <c r="I168" s="28">
        <f t="shared" si="101"/>
        <v>150</v>
      </c>
      <c r="J168" s="28">
        <f t="shared" si="101"/>
        <v>1950</v>
      </c>
      <c r="K168" s="28">
        <f t="shared" si="101"/>
        <v>1950</v>
      </c>
    </row>
    <row r="169" spans="1:11" ht="33.75" customHeight="1" x14ac:dyDescent="0.25">
      <c r="A169" s="44" t="s">
        <v>168</v>
      </c>
      <c r="B169" s="37" t="s">
        <v>152</v>
      </c>
      <c r="C169" s="37"/>
      <c r="D169" s="46">
        <f t="shared" si="101"/>
        <v>1800</v>
      </c>
      <c r="E169" s="46">
        <f t="shared" si="101"/>
        <v>0</v>
      </c>
      <c r="F169" s="46">
        <f t="shared" si="101"/>
        <v>1800</v>
      </c>
      <c r="G169" s="46">
        <f t="shared" si="101"/>
        <v>0</v>
      </c>
      <c r="H169" s="46">
        <f t="shared" si="101"/>
        <v>0</v>
      </c>
      <c r="I169" s="46">
        <f t="shared" si="101"/>
        <v>150</v>
      </c>
      <c r="J169" s="46">
        <f t="shared" si="101"/>
        <v>1950</v>
      </c>
      <c r="K169" s="46">
        <f t="shared" si="101"/>
        <v>1950</v>
      </c>
    </row>
    <row r="170" spans="1:11" ht="31.5" customHeight="1" x14ac:dyDescent="0.25">
      <c r="A170" s="10" t="s">
        <v>35</v>
      </c>
      <c r="B170" s="11" t="s">
        <v>152</v>
      </c>
      <c r="C170" s="11" t="s">
        <v>36</v>
      </c>
      <c r="D170" s="16">
        <v>1800</v>
      </c>
      <c r="E170" s="16"/>
      <c r="F170" s="16">
        <f>D170+E170</f>
        <v>1800</v>
      </c>
      <c r="G170" s="16"/>
      <c r="H170" s="16"/>
      <c r="I170" s="16">
        <v>150</v>
      </c>
      <c r="J170" s="16">
        <f>F170+I170</f>
        <v>1950</v>
      </c>
      <c r="K170" s="16">
        <v>1950</v>
      </c>
    </row>
    <row r="171" spans="1:11" ht="41.25" customHeight="1" x14ac:dyDescent="0.25">
      <c r="A171" s="21" t="s">
        <v>60</v>
      </c>
      <c r="B171" s="22" t="s">
        <v>155</v>
      </c>
      <c r="C171" s="22"/>
      <c r="D171" s="28">
        <f>D172+D175+D184+D190+D195</f>
        <v>58700.22</v>
      </c>
      <c r="E171" s="28">
        <f>E172+E175+E184+E190+E195+E177</f>
        <v>4938.5</v>
      </c>
      <c r="F171" s="28">
        <f>F172+F175+F184+F190+F195+F177+F179</f>
        <v>64298.46</v>
      </c>
      <c r="G171" s="28">
        <f>G172+G175+G184+G190+G195+G177+G179</f>
        <v>23363.3</v>
      </c>
      <c r="H171" s="28">
        <f>H172+H175+H184+H190+H195+H177+H179</f>
        <v>0</v>
      </c>
      <c r="I171" s="28">
        <f>I172+I175+I184+I190+I195+I177+I179</f>
        <v>7248.99</v>
      </c>
      <c r="J171" s="28">
        <f>J172+J175+J184+J190+J195+J177+J179+J192+J182</f>
        <v>117410.75000000001</v>
      </c>
      <c r="K171" s="28">
        <f>K172+K175+K184+K190+K195+K177+K179+K192+K182</f>
        <v>159160.09000000003</v>
      </c>
    </row>
    <row r="172" spans="1:11" ht="42.75" customHeight="1" x14ac:dyDescent="0.25">
      <c r="A172" s="44" t="s">
        <v>197</v>
      </c>
      <c r="B172" s="37" t="s">
        <v>237</v>
      </c>
      <c r="C172" s="37"/>
      <c r="D172" s="46">
        <f t="shared" ref="D172:E172" si="102">D174</f>
        <v>4000</v>
      </c>
      <c r="E172" s="46">
        <f t="shared" si="102"/>
        <v>0</v>
      </c>
      <c r="F172" s="46">
        <f>F173+F174</f>
        <v>4000</v>
      </c>
      <c r="G172" s="46">
        <f t="shared" ref="G172:J172" si="103">G173+G174</f>
        <v>0</v>
      </c>
      <c r="H172" s="46">
        <f t="shared" si="103"/>
        <v>0</v>
      </c>
      <c r="I172" s="46">
        <f t="shared" si="103"/>
        <v>0</v>
      </c>
      <c r="J172" s="46">
        <f t="shared" si="103"/>
        <v>4000</v>
      </c>
      <c r="K172" s="46">
        <f t="shared" ref="K172" si="104">K173+K174</f>
        <v>4000</v>
      </c>
    </row>
    <row r="173" spans="1:11" ht="40.700000000000003" customHeight="1" x14ac:dyDescent="0.25">
      <c r="A173" s="10" t="s">
        <v>35</v>
      </c>
      <c r="B173" s="11" t="s">
        <v>237</v>
      </c>
      <c r="C173" s="11" t="s">
        <v>36</v>
      </c>
      <c r="D173" s="16">
        <v>4000</v>
      </c>
      <c r="E173" s="16"/>
      <c r="F173" s="16">
        <f>D173+E173</f>
        <v>4000</v>
      </c>
      <c r="G173" s="16"/>
      <c r="H173" s="16"/>
      <c r="I173" s="16">
        <v>-993.89</v>
      </c>
      <c r="J173" s="16">
        <f>F173+I173</f>
        <v>3006.11</v>
      </c>
      <c r="K173" s="16">
        <v>2502.86</v>
      </c>
    </row>
    <row r="174" spans="1:11" ht="40.700000000000003" customHeight="1" x14ac:dyDescent="0.25">
      <c r="A174" s="10" t="s">
        <v>29</v>
      </c>
      <c r="B174" s="11" t="s">
        <v>237</v>
      </c>
      <c r="C174" s="11" t="s">
        <v>28</v>
      </c>
      <c r="D174" s="16">
        <v>4000</v>
      </c>
      <c r="E174" s="16"/>
      <c r="F174" s="16"/>
      <c r="G174" s="16"/>
      <c r="H174" s="16"/>
      <c r="I174" s="16">
        <v>993.89</v>
      </c>
      <c r="J174" s="16">
        <f>F174+I174</f>
        <v>993.89</v>
      </c>
      <c r="K174" s="16">
        <v>1497.14</v>
      </c>
    </row>
    <row r="175" spans="1:11" ht="72" customHeight="1" x14ac:dyDescent="0.25">
      <c r="A175" s="44" t="s">
        <v>8</v>
      </c>
      <c r="B175" s="37" t="s">
        <v>238</v>
      </c>
      <c r="C175" s="37"/>
      <c r="D175" s="46">
        <f t="shared" ref="D175:K175" si="105">D176</f>
        <v>0.22</v>
      </c>
      <c r="E175" s="46">
        <f t="shared" si="105"/>
        <v>0</v>
      </c>
      <c r="F175" s="46">
        <f t="shared" si="105"/>
        <v>0.22</v>
      </c>
      <c r="G175" s="46">
        <f t="shared" si="105"/>
        <v>0</v>
      </c>
      <c r="H175" s="46">
        <f t="shared" si="105"/>
        <v>0</v>
      </c>
      <c r="I175" s="46">
        <f t="shared" si="105"/>
        <v>0</v>
      </c>
      <c r="J175" s="46">
        <f t="shared" si="105"/>
        <v>0.22</v>
      </c>
      <c r="K175" s="46">
        <f t="shared" si="105"/>
        <v>0.22</v>
      </c>
    </row>
    <row r="176" spans="1:11" ht="38.25" customHeight="1" x14ac:dyDescent="0.25">
      <c r="A176" s="10" t="s">
        <v>35</v>
      </c>
      <c r="B176" s="11" t="s">
        <v>238</v>
      </c>
      <c r="C176" s="11" t="s">
        <v>36</v>
      </c>
      <c r="D176" s="16">
        <v>0.22</v>
      </c>
      <c r="E176" s="16"/>
      <c r="F176" s="16">
        <f>D176+E176</f>
        <v>0.22</v>
      </c>
      <c r="G176" s="16"/>
      <c r="H176" s="16"/>
      <c r="I176" s="16"/>
      <c r="J176" s="16">
        <f>F176+H176</f>
        <v>0.22</v>
      </c>
      <c r="K176" s="16">
        <v>0.22</v>
      </c>
    </row>
    <row r="177" spans="1:11" ht="38.25" customHeight="1" x14ac:dyDescent="0.25">
      <c r="A177" s="44" t="s">
        <v>284</v>
      </c>
      <c r="B177" s="37" t="s">
        <v>285</v>
      </c>
      <c r="C177" s="37"/>
      <c r="D177" s="36"/>
      <c r="E177" s="36">
        <f t="shared" ref="E177:K177" si="106">E178</f>
        <v>3640</v>
      </c>
      <c r="F177" s="46">
        <f t="shared" si="106"/>
        <v>3640</v>
      </c>
      <c r="G177" s="46">
        <f t="shared" si="106"/>
        <v>0</v>
      </c>
      <c r="H177" s="46">
        <f t="shared" si="106"/>
        <v>0</v>
      </c>
      <c r="I177" s="46">
        <f t="shared" si="106"/>
        <v>0</v>
      </c>
      <c r="J177" s="46">
        <f t="shared" si="106"/>
        <v>3640</v>
      </c>
      <c r="K177" s="46">
        <f t="shared" si="106"/>
        <v>3640</v>
      </c>
    </row>
    <row r="178" spans="1:11" ht="38.25" customHeight="1" x14ac:dyDescent="0.25">
      <c r="A178" s="10" t="s">
        <v>35</v>
      </c>
      <c r="B178" s="11" t="s">
        <v>285</v>
      </c>
      <c r="C178" s="11" t="s">
        <v>36</v>
      </c>
      <c r="D178" s="4"/>
      <c r="E178" s="4">
        <v>3640</v>
      </c>
      <c r="F178" s="16">
        <f>D178+E178</f>
        <v>3640</v>
      </c>
      <c r="G178" s="16"/>
      <c r="H178" s="16"/>
      <c r="I178" s="16"/>
      <c r="J178" s="16">
        <f>F178</f>
        <v>3640</v>
      </c>
      <c r="K178" s="16">
        <v>3640</v>
      </c>
    </row>
    <row r="179" spans="1:11" s="71" customFormat="1" ht="47.25" customHeight="1" x14ac:dyDescent="0.25">
      <c r="A179" s="44" t="s">
        <v>329</v>
      </c>
      <c r="B179" s="37" t="s">
        <v>289</v>
      </c>
      <c r="C179" s="37"/>
      <c r="D179" s="36"/>
      <c r="E179" s="36"/>
      <c r="F179" s="46">
        <f t="shared" ref="F179:I179" si="107">F181</f>
        <v>3659.74</v>
      </c>
      <c r="G179" s="46">
        <f t="shared" si="107"/>
        <v>0</v>
      </c>
      <c r="H179" s="46">
        <f t="shared" si="107"/>
        <v>0</v>
      </c>
      <c r="I179" s="46">
        <f t="shared" si="107"/>
        <v>0</v>
      </c>
      <c r="J179" s="46">
        <f>J180</f>
        <v>3659.74</v>
      </c>
      <c r="K179" s="46">
        <f>K180+K181</f>
        <v>3659.74</v>
      </c>
    </row>
    <row r="180" spans="1:11" ht="38.25" hidden="1" customHeight="1" x14ac:dyDescent="0.25">
      <c r="A180" s="10" t="s">
        <v>35</v>
      </c>
      <c r="B180" s="11" t="s">
        <v>289</v>
      </c>
      <c r="C180" s="11" t="s">
        <v>36</v>
      </c>
      <c r="D180" s="4"/>
      <c r="E180" s="4"/>
      <c r="F180" s="16">
        <v>3659.74</v>
      </c>
      <c r="G180" s="16"/>
      <c r="H180" s="16"/>
      <c r="I180" s="16"/>
      <c r="J180" s="16">
        <f>F180</f>
        <v>3659.74</v>
      </c>
      <c r="K180" s="16"/>
    </row>
    <row r="181" spans="1:11" ht="38.25" customHeight="1" x14ac:dyDescent="0.25">
      <c r="A181" s="10" t="s">
        <v>247</v>
      </c>
      <c r="B181" s="11" t="s">
        <v>289</v>
      </c>
      <c r="C181" s="11" t="s">
        <v>190</v>
      </c>
      <c r="D181" s="4"/>
      <c r="E181" s="4"/>
      <c r="F181" s="16">
        <v>3659.74</v>
      </c>
      <c r="G181" s="16"/>
      <c r="H181" s="16"/>
      <c r="I181" s="16"/>
      <c r="J181" s="16"/>
      <c r="K181" s="16">
        <v>3659.74</v>
      </c>
    </row>
    <row r="182" spans="1:11" ht="52.5" customHeight="1" x14ac:dyDescent="0.25">
      <c r="A182" s="44" t="s">
        <v>370</v>
      </c>
      <c r="B182" s="37" t="s">
        <v>371</v>
      </c>
      <c r="C182" s="37"/>
      <c r="D182" s="46"/>
      <c r="E182" s="46"/>
      <c r="F182" s="46"/>
      <c r="G182" s="46"/>
      <c r="H182" s="46"/>
      <c r="I182" s="46"/>
      <c r="J182" s="46"/>
      <c r="K182" s="46">
        <f>K183</f>
        <v>1091.6299999999999</v>
      </c>
    </row>
    <row r="183" spans="1:11" s="2" customFormat="1" ht="33" customHeight="1" x14ac:dyDescent="0.25">
      <c r="A183" s="10" t="s">
        <v>247</v>
      </c>
      <c r="B183" s="11" t="s">
        <v>371</v>
      </c>
      <c r="C183" s="11" t="s">
        <v>190</v>
      </c>
      <c r="D183" s="16"/>
      <c r="E183" s="16"/>
      <c r="F183" s="16"/>
      <c r="G183" s="16"/>
      <c r="H183" s="16"/>
      <c r="I183" s="16"/>
      <c r="J183" s="16"/>
      <c r="K183" s="16">
        <f>1052.85+38.78</f>
        <v>1091.6299999999999</v>
      </c>
    </row>
    <row r="184" spans="1:11" ht="42.75" customHeight="1" x14ac:dyDescent="0.25">
      <c r="A184" s="44" t="s">
        <v>151</v>
      </c>
      <c r="B184" s="37" t="s">
        <v>156</v>
      </c>
      <c r="C184" s="37"/>
      <c r="D184" s="46">
        <f t="shared" ref="D184:E184" si="108">D189</f>
        <v>35600</v>
      </c>
      <c r="E184" s="46">
        <f t="shared" si="108"/>
        <v>0</v>
      </c>
      <c r="F184" s="46">
        <f>F185+F186+F187+F188+F189</f>
        <v>32600</v>
      </c>
      <c r="G184" s="46">
        <f>G185+G186+G187+G188+G189</f>
        <v>23363.3</v>
      </c>
      <c r="H184" s="46">
        <f t="shared" ref="H184:J184" si="109">H185+H186+H187+H188+H189</f>
        <v>0</v>
      </c>
      <c r="I184" s="46">
        <f t="shared" si="109"/>
        <v>7248.99</v>
      </c>
      <c r="J184" s="46">
        <f t="shared" si="109"/>
        <v>60512.29</v>
      </c>
      <c r="K184" s="46">
        <f t="shared" ref="K184" si="110">K185+K186+K187+K188+K189</f>
        <v>101197.00000000001</v>
      </c>
    </row>
    <row r="185" spans="1:11" ht="34.5" customHeight="1" x14ac:dyDescent="0.25">
      <c r="A185" s="10" t="s">
        <v>35</v>
      </c>
      <c r="B185" s="11" t="s">
        <v>156</v>
      </c>
      <c r="C185" s="11" t="s">
        <v>36</v>
      </c>
      <c r="D185" s="16">
        <f>17900+11000+2700+4000</f>
        <v>35600</v>
      </c>
      <c r="E185" s="16"/>
      <c r="F185" s="16">
        <v>32600</v>
      </c>
      <c r="G185" s="16">
        <f>17192.2+640.41</f>
        <v>17832.61</v>
      </c>
      <c r="H185" s="16"/>
      <c r="I185" s="16">
        <f>2019.34-169.6+1500+500+597+100+2500</f>
        <v>7046.74</v>
      </c>
      <c r="J185" s="16">
        <f>F185+G185+I185-2700</f>
        <v>54779.35</v>
      </c>
      <c r="K185" s="16">
        <f>86762.32+329.99+820.41</f>
        <v>87912.720000000016</v>
      </c>
    </row>
    <row r="186" spans="1:11" ht="24" hidden="1" customHeight="1" x14ac:dyDescent="0.25">
      <c r="A186" s="10" t="s">
        <v>74</v>
      </c>
      <c r="B186" s="11" t="s">
        <v>156</v>
      </c>
      <c r="C186" s="11" t="s">
        <v>76</v>
      </c>
      <c r="D186" s="16">
        <f>17900+11000+2700+4000</f>
        <v>35600</v>
      </c>
      <c r="E186" s="16"/>
      <c r="F186" s="16"/>
      <c r="G186" s="16"/>
      <c r="H186" s="16"/>
      <c r="I186" s="16">
        <f>30-30</f>
        <v>0</v>
      </c>
      <c r="J186" s="16">
        <f t="shared" ref="J186:J189" si="111">F186+G186+I186</f>
        <v>0</v>
      </c>
      <c r="K186" s="16"/>
    </row>
    <row r="187" spans="1:11" ht="35.450000000000003" customHeight="1" x14ac:dyDescent="0.25">
      <c r="A187" s="10" t="s">
        <v>247</v>
      </c>
      <c r="B187" s="11" t="s">
        <v>156</v>
      </c>
      <c r="C187" s="11" t="s">
        <v>190</v>
      </c>
      <c r="D187" s="16">
        <f>17900+11000+2700+4000</f>
        <v>35600</v>
      </c>
      <c r="E187" s="16"/>
      <c r="F187" s="16"/>
      <c r="G187" s="16">
        <v>5530.69</v>
      </c>
      <c r="H187" s="16"/>
      <c r="I187" s="16"/>
      <c r="J187" s="16">
        <f t="shared" si="111"/>
        <v>5530.69</v>
      </c>
      <c r="K187" s="16">
        <v>12995.84</v>
      </c>
    </row>
    <row r="188" spans="1:11" ht="35.450000000000003" customHeight="1" x14ac:dyDescent="0.25">
      <c r="A188" s="10" t="s">
        <v>29</v>
      </c>
      <c r="B188" s="11" t="s">
        <v>156</v>
      </c>
      <c r="C188" s="11" t="s">
        <v>28</v>
      </c>
      <c r="D188" s="16">
        <f>17900+11000+2700+4000</f>
        <v>35600</v>
      </c>
      <c r="E188" s="16"/>
      <c r="F188" s="16"/>
      <c r="G188" s="16"/>
      <c r="H188" s="16"/>
      <c r="I188" s="16">
        <v>191.39</v>
      </c>
      <c r="J188" s="16">
        <f t="shared" si="111"/>
        <v>191.39</v>
      </c>
      <c r="K188" s="16">
        <v>277.58</v>
      </c>
    </row>
    <row r="189" spans="1:11" ht="18.75" customHeight="1" x14ac:dyDescent="0.25">
      <c r="A189" s="10" t="s">
        <v>314</v>
      </c>
      <c r="B189" s="11" t="s">
        <v>156</v>
      </c>
      <c r="C189" s="11" t="s">
        <v>54</v>
      </c>
      <c r="D189" s="16">
        <f>17900+11000+2700+4000</f>
        <v>35600</v>
      </c>
      <c r="E189" s="16"/>
      <c r="F189" s="16"/>
      <c r="G189" s="16"/>
      <c r="H189" s="16"/>
      <c r="I189" s="16">
        <v>10.86</v>
      </c>
      <c r="J189" s="16">
        <f t="shared" si="111"/>
        <v>10.86</v>
      </c>
      <c r="K189" s="16">
        <v>10.86</v>
      </c>
    </row>
    <row r="190" spans="1:11" ht="27.75" customHeight="1" x14ac:dyDescent="0.25">
      <c r="A190" s="44" t="s">
        <v>153</v>
      </c>
      <c r="B190" s="37" t="s">
        <v>239</v>
      </c>
      <c r="C190" s="37"/>
      <c r="D190" s="46">
        <f t="shared" ref="D190:I190" si="112">D194</f>
        <v>0</v>
      </c>
      <c r="E190" s="46">
        <f t="shared" si="112"/>
        <v>0</v>
      </c>
      <c r="F190" s="46">
        <f t="shared" si="112"/>
        <v>0</v>
      </c>
      <c r="G190" s="46">
        <f t="shared" si="112"/>
        <v>0</v>
      </c>
      <c r="H190" s="46">
        <f t="shared" si="112"/>
        <v>0</v>
      </c>
      <c r="I190" s="46">
        <f t="shared" si="112"/>
        <v>0</v>
      </c>
      <c r="J190" s="46">
        <f>J191</f>
        <v>12500</v>
      </c>
      <c r="K190" s="46">
        <f>K191</f>
        <v>12500</v>
      </c>
    </row>
    <row r="191" spans="1:11" ht="36" customHeight="1" x14ac:dyDescent="0.25">
      <c r="A191" s="10" t="s">
        <v>35</v>
      </c>
      <c r="B191" s="11" t="s">
        <v>239</v>
      </c>
      <c r="C191" s="11" t="s">
        <v>36</v>
      </c>
      <c r="D191" s="16">
        <v>12500</v>
      </c>
      <c r="E191" s="16"/>
      <c r="F191" s="16">
        <f>D191+E191</f>
        <v>12500</v>
      </c>
      <c r="G191" s="16"/>
      <c r="H191" s="16"/>
      <c r="I191" s="16"/>
      <c r="J191" s="16">
        <f>F191+I191</f>
        <v>12500</v>
      </c>
      <c r="K191" s="16">
        <v>12500</v>
      </c>
    </row>
    <row r="192" spans="1:11" ht="51" customHeight="1" x14ac:dyDescent="0.25">
      <c r="A192" s="72" t="s">
        <v>341</v>
      </c>
      <c r="B192" s="73" t="s">
        <v>342</v>
      </c>
      <c r="C192" s="73"/>
      <c r="D192" s="73" t="s">
        <v>343</v>
      </c>
      <c r="E192" s="73" t="s">
        <v>344</v>
      </c>
      <c r="F192" s="73" t="s">
        <v>345</v>
      </c>
      <c r="G192" s="73" t="s">
        <v>346</v>
      </c>
      <c r="H192" s="73" t="s">
        <v>347</v>
      </c>
      <c r="I192" s="73" t="s">
        <v>348</v>
      </c>
      <c r="J192" s="74" t="s">
        <v>349</v>
      </c>
      <c r="K192" s="46">
        <f t="shared" ref="K192" si="113">K193</f>
        <v>12673</v>
      </c>
    </row>
    <row r="193" spans="1:11" ht="36" customHeight="1" x14ac:dyDescent="0.25">
      <c r="A193" s="44" t="s">
        <v>341</v>
      </c>
      <c r="B193" s="37" t="s">
        <v>342</v>
      </c>
      <c r="C193" s="37"/>
      <c r="D193" s="46"/>
      <c r="E193" s="46"/>
      <c r="F193" s="46"/>
      <c r="G193" s="46"/>
      <c r="H193" s="46"/>
      <c r="I193" s="46"/>
      <c r="J193" s="46">
        <f>J194</f>
        <v>12700</v>
      </c>
      <c r="K193" s="46">
        <f>K194</f>
        <v>12673</v>
      </c>
    </row>
    <row r="194" spans="1:11" ht="36" customHeight="1" x14ac:dyDescent="0.25">
      <c r="A194" s="10" t="s">
        <v>35</v>
      </c>
      <c r="B194" s="11" t="s">
        <v>342</v>
      </c>
      <c r="C194" s="11" t="s">
        <v>36</v>
      </c>
      <c r="D194" s="16"/>
      <c r="E194" s="16"/>
      <c r="F194" s="16"/>
      <c r="G194" s="16"/>
      <c r="H194" s="16"/>
      <c r="I194" s="16"/>
      <c r="J194" s="16">
        <v>12700</v>
      </c>
      <c r="K194" s="16">
        <v>12673</v>
      </c>
    </row>
    <row r="195" spans="1:11" ht="45" customHeight="1" x14ac:dyDescent="0.25">
      <c r="A195" s="44" t="s">
        <v>223</v>
      </c>
      <c r="B195" s="37" t="s">
        <v>240</v>
      </c>
      <c r="C195" s="37"/>
      <c r="D195" s="46">
        <f>D196+D199</f>
        <v>19100</v>
      </c>
      <c r="E195" s="46">
        <f>E196+E199</f>
        <v>1298.5</v>
      </c>
      <c r="F195" s="46">
        <f>F196+F198+F199</f>
        <v>20398.5</v>
      </c>
      <c r="G195" s="46">
        <f t="shared" ref="G195:I195" si="114">G196+G198+G199</f>
        <v>0</v>
      </c>
      <c r="H195" s="46">
        <f t="shared" si="114"/>
        <v>0</v>
      </c>
      <c r="I195" s="46">
        <f t="shared" si="114"/>
        <v>0</v>
      </c>
      <c r="J195" s="46">
        <f>J196+J197+J198</f>
        <v>20398.5</v>
      </c>
      <c r="K195" s="46">
        <f>K196+K197+K198</f>
        <v>20398.5</v>
      </c>
    </row>
    <row r="196" spans="1:11" ht="84" customHeight="1" x14ac:dyDescent="0.25">
      <c r="A196" s="10" t="s">
        <v>33</v>
      </c>
      <c r="B196" s="11" t="s">
        <v>240</v>
      </c>
      <c r="C196" s="11" t="s">
        <v>34</v>
      </c>
      <c r="D196" s="16">
        <v>14457.2</v>
      </c>
      <c r="E196" s="16">
        <v>1026</v>
      </c>
      <c r="F196" s="16">
        <f>D196+E196</f>
        <v>15483.2</v>
      </c>
      <c r="G196" s="16"/>
      <c r="H196" s="16"/>
      <c r="I196" s="16"/>
      <c r="J196" s="16">
        <f>F196+I196</f>
        <v>15483.2</v>
      </c>
      <c r="K196" s="16">
        <v>15419.2</v>
      </c>
    </row>
    <row r="197" spans="1:11" ht="42" customHeight="1" x14ac:dyDescent="0.25">
      <c r="A197" s="10" t="s">
        <v>35</v>
      </c>
      <c r="B197" s="11" t="s">
        <v>240</v>
      </c>
      <c r="C197" s="11" t="s">
        <v>36</v>
      </c>
      <c r="D197" s="16">
        <v>4642.8</v>
      </c>
      <c r="E197" s="16">
        <v>272.5</v>
      </c>
      <c r="F197" s="16">
        <f>D197+E197</f>
        <v>4915.3</v>
      </c>
      <c r="G197" s="16"/>
      <c r="H197" s="16"/>
      <c r="I197" s="16">
        <f>666.7-666.7</f>
        <v>0</v>
      </c>
      <c r="J197" s="16">
        <f>F197+I197</f>
        <v>4915.3</v>
      </c>
      <c r="K197" s="16">
        <v>4975</v>
      </c>
    </row>
    <row r="198" spans="1:11" ht="42" customHeight="1" x14ac:dyDescent="0.25">
      <c r="A198" s="10" t="s">
        <v>35</v>
      </c>
      <c r="B198" s="11" t="s">
        <v>240</v>
      </c>
      <c r="C198" s="11" t="s">
        <v>54</v>
      </c>
      <c r="D198" s="16">
        <v>4642.8</v>
      </c>
      <c r="E198" s="16">
        <v>272.5</v>
      </c>
      <c r="F198" s="16">
        <f>D198+E198</f>
        <v>4915.3</v>
      </c>
      <c r="G198" s="16"/>
      <c r="H198" s="16"/>
      <c r="I198" s="16">
        <f>666.7-666.7</f>
        <v>0</v>
      </c>
      <c r="J198" s="16">
        <v>0</v>
      </c>
      <c r="K198" s="16">
        <v>4.3</v>
      </c>
    </row>
    <row r="199" spans="1:11" ht="21" hidden="1" customHeight="1" x14ac:dyDescent="0.25">
      <c r="A199" s="10" t="s">
        <v>314</v>
      </c>
      <c r="B199" s="11" t="s">
        <v>240</v>
      </c>
      <c r="C199" s="11" t="s">
        <v>54</v>
      </c>
      <c r="D199" s="16">
        <v>4642.8</v>
      </c>
      <c r="E199" s="16">
        <v>272.5</v>
      </c>
      <c r="F199" s="16"/>
      <c r="G199" s="16"/>
      <c r="H199" s="16"/>
      <c r="I199" s="16">
        <f>4.3-4.3</f>
        <v>0</v>
      </c>
      <c r="J199" s="16">
        <f>F199+I199</f>
        <v>0</v>
      </c>
      <c r="K199" s="16" t="e">
        <f>J199+#REF!</f>
        <v>#REF!</v>
      </c>
    </row>
    <row r="200" spans="1:11" ht="34.5" customHeight="1" x14ac:dyDescent="0.25">
      <c r="A200" s="24" t="s">
        <v>368</v>
      </c>
      <c r="B200" s="25" t="s">
        <v>157</v>
      </c>
      <c r="C200" s="25"/>
      <c r="D200" s="26"/>
      <c r="E200" s="26"/>
      <c r="F200" s="27">
        <f>F201</f>
        <v>19442.579999999998</v>
      </c>
      <c r="G200" s="27">
        <f t="shared" ref="G200:I200" si="115">G201</f>
        <v>0</v>
      </c>
      <c r="H200" s="27">
        <f t="shared" si="115"/>
        <v>4620.25</v>
      </c>
      <c r="I200" s="27">
        <f t="shared" si="115"/>
        <v>0</v>
      </c>
      <c r="J200" s="27">
        <f>J201</f>
        <v>26212.829999999998</v>
      </c>
      <c r="K200" s="27">
        <f>K201</f>
        <v>26212.829999999998</v>
      </c>
    </row>
    <row r="201" spans="1:11" ht="55.5" customHeight="1" x14ac:dyDescent="0.25">
      <c r="A201" s="24" t="s">
        <v>369</v>
      </c>
      <c r="B201" s="25" t="s">
        <v>157</v>
      </c>
      <c r="C201" s="25"/>
      <c r="D201" s="26">
        <f>D202+D218</f>
        <v>16900</v>
      </c>
      <c r="E201" s="26">
        <f>E202+E218</f>
        <v>-1000</v>
      </c>
      <c r="F201" s="27">
        <f>F202+F207+F211+F213+F215+F209</f>
        <v>19442.579999999998</v>
      </c>
      <c r="G201" s="27">
        <f t="shared" ref="G201:I201" si="116">G202+G207+G211+G213+G215+G209</f>
        <v>0</v>
      </c>
      <c r="H201" s="27">
        <f t="shared" si="116"/>
        <v>4620.25</v>
      </c>
      <c r="I201" s="27">
        <f t="shared" si="116"/>
        <v>0</v>
      </c>
      <c r="J201" s="27">
        <f>J202+J207+J211+J213+J215+J209+J205</f>
        <v>26212.829999999998</v>
      </c>
      <c r="K201" s="27">
        <f>K202+K207+K211+K213+K215+K209+K205</f>
        <v>26212.829999999998</v>
      </c>
    </row>
    <row r="202" spans="1:11" ht="39.75" customHeight="1" x14ac:dyDescent="0.25">
      <c r="A202" s="44" t="s">
        <v>196</v>
      </c>
      <c r="B202" s="37" t="s">
        <v>243</v>
      </c>
      <c r="C202" s="37"/>
      <c r="D202" s="36">
        <f>D204</f>
        <v>13000</v>
      </c>
      <c r="E202" s="36">
        <f>E204</f>
        <v>-1000</v>
      </c>
      <c r="F202" s="46">
        <f>F203+F204</f>
        <v>12000</v>
      </c>
      <c r="G202" s="46">
        <f t="shared" ref="G202:J202" si="117">G203+G204</f>
        <v>0</v>
      </c>
      <c r="H202" s="46">
        <f t="shared" si="117"/>
        <v>3000</v>
      </c>
      <c r="I202" s="46">
        <f t="shared" si="117"/>
        <v>0</v>
      </c>
      <c r="J202" s="46">
        <f t="shared" si="117"/>
        <v>17150</v>
      </c>
      <c r="K202" s="46">
        <f t="shared" ref="K202" si="118">K203+K204</f>
        <v>17150</v>
      </c>
    </row>
    <row r="203" spans="1:11" ht="39.75" customHeight="1" x14ac:dyDescent="0.25">
      <c r="A203" s="10" t="s">
        <v>35</v>
      </c>
      <c r="B203" s="11" t="s">
        <v>243</v>
      </c>
      <c r="C203" s="11" t="s">
        <v>36</v>
      </c>
      <c r="D203" s="4">
        <v>13000</v>
      </c>
      <c r="E203" s="4">
        <v>-1000</v>
      </c>
      <c r="F203" s="16">
        <f>D203+E203</f>
        <v>12000</v>
      </c>
      <c r="G203" s="16"/>
      <c r="H203" s="16">
        <v>3000</v>
      </c>
      <c r="I203" s="16">
        <v>-167.72</v>
      </c>
      <c r="J203" s="16">
        <f>F203+H203+I203+2150</f>
        <v>16982.28</v>
      </c>
      <c r="K203" s="16">
        <f>6612.55+10369.73</f>
        <v>16982.28</v>
      </c>
    </row>
    <row r="204" spans="1:11" ht="39.75" customHeight="1" x14ac:dyDescent="0.25">
      <c r="A204" s="10" t="s">
        <v>247</v>
      </c>
      <c r="B204" s="11" t="s">
        <v>243</v>
      </c>
      <c r="C204" s="11" t="s">
        <v>190</v>
      </c>
      <c r="D204" s="4">
        <v>13000</v>
      </c>
      <c r="E204" s="4">
        <v>-1000</v>
      </c>
      <c r="F204" s="16"/>
      <c r="G204" s="16"/>
      <c r="H204" s="16"/>
      <c r="I204" s="16">
        <v>167.72</v>
      </c>
      <c r="J204" s="16">
        <f>I204</f>
        <v>167.72</v>
      </c>
      <c r="K204" s="16">
        <v>167.72</v>
      </c>
    </row>
    <row r="205" spans="1:11" ht="64.5" customHeight="1" x14ac:dyDescent="0.25">
      <c r="A205" s="44" t="s">
        <v>246</v>
      </c>
      <c r="B205" s="37" t="s">
        <v>248</v>
      </c>
      <c r="C205" s="37"/>
      <c r="D205" s="36"/>
      <c r="E205" s="36">
        <f t="shared" ref="E205:K207" si="119">E206</f>
        <v>1418.1</v>
      </c>
      <c r="F205" s="46">
        <f t="shared" si="119"/>
        <v>1550.32</v>
      </c>
      <c r="G205" s="46">
        <f t="shared" si="119"/>
        <v>0</v>
      </c>
      <c r="H205" s="46">
        <f t="shared" si="119"/>
        <v>0</v>
      </c>
      <c r="I205" s="46">
        <f t="shared" si="119"/>
        <v>0</v>
      </c>
      <c r="J205" s="46">
        <f t="shared" si="119"/>
        <v>1550.32</v>
      </c>
      <c r="K205" s="46">
        <f t="shared" si="119"/>
        <v>132.22</v>
      </c>
    </row>
    <row r="206" spans="1:11" ht="46.5" customHeight="1" x14ac:dyDescent="0.25">
      <c r="A206" s="10" t="s">
        <v>247</v>
      </c>
      <c r="B206" s="11" t="s">
        <v>248</v>
      </c>
      <c r="C206" s="11" t="s">
        <v>190</v>
      </c>
      <c r="D206" s="4"/>
      <c r="E206" s="4">
        <v>1418.1</v>
      </c>
      <c r="F206" s="16">
        <f>D206+E206+132.22</f>
        <v>1550.32</v>
      </c>
      <c r="G206" s="16"/>
      <c r="H206" s="16"/>
      <c r="I206" s="16"/>
      <c r="J206" s="16">
        <f>F206+H206</f>
        <v>1550.32</v>
      </c>
      <c r="K206" s="16">
        <v>132.22</v>
      </c>
    </row>
    <row r="207" spans="1:11" ht="64.5" customHeight="1" x14ac:dyDescent="0.25">
      <c r="A207" s="44" t="s">
        <v>373</v>
      </c>
      <c r="B207" s="37" t="s">
        <v>372</v>
      </c>
      <c r="C207" s="37"/>
      <c r="D207" s="36"/>
      <c r="E207" s="36">
        <f t="shared" si="119"/>
        <v>1418.1</v>
      </c>
      <c r="F207" s="46">
        <f t="shared" si="119"/>
        <v>1550.32</v>
      </c>
      <c r="G207" s="46">
        <f t="shared" si="119"/>
        <v>0</v>
      </c>
      <c r="H207" s="46">
        <f t="shared" si="119"/>
        <v>0</v>
      </c>
      <c r="I207" s="46">
        <f t="shared" si="119"/>
        <v>0</v>
      </c>
      <c r="J207" s="46">
        <f t="shared" si="119"/>
        <v>0</v>
      </c>
      <c r="K207" s="46">
        <f t="shared" si="119"/>
        <v>1418.1</v>
      </c>
    </row>
    <row r="208" spans="1:11" ht="46.5" customHeight="1" x14ac:dyDescent="0.25">
      <c r="A208" s="10" t="s">
        <v>247</v>
      </c>
      <c r="B208" s="11" t="s">
        <v>372</v>
      </c>
      <c r="C208" s="11" t="s">
        <v>190</v>
      </c>
      <c r="D208" s="4"/>
      <c r="E208" s="4">
        <v>1418.1</v>
      </c>
      <c r="F208" s="16">
        <f>D208+E208+132.22</f>
        <v>1550.32</v>
      </c>
      <c r="G208" s="16"/>
      <c r="H208" s="16"/>
      <c r="I208" s="16"/>
      <c r="J208" s="16"/>
      <c r="K208" s="16">
        <v>1418.1</v>
      </c>
    </row>
    <row r="209" spans="1:11" ht="47.25" customHeight="1" x14ac:dyDescent="0.25">
      <c r="A209" s="44" t="s">
        <v>312</v>
      </c>
      <c r="B209" s="37" t="s">
        <v>311</v>
      </c>
      <c r="C209" s="37"/>
      <c r="D209" s="36"/>
      <c r="E209" s="36"/>
      <c r="F209" s="46"/>
      <c r="G209" s="46"/>
      <c r="H209" s="46">
        <f t="shared" ref="H209:K209" si="120">H210</f>
        <v>1620.25</v>
      </c>
      <c r="I209" s="46">
        <f t="shared" si="120"/>
        <v>0</v>
      </c>
      <c r="J209" s="46">
        <f t="shared" si="120"/>
        <v>1620.25</v>
      </c>
      <c r="K209" s="46">
        <f t="shared" si="120"/>
        <v>1620.25</v>
      </c>
    </row>
    <row r="210" spans="1:11" s="2" customFormat="1" ht="32.25" customHeight="1" x14ac:dyDescent="0.25">
      <c r="A210" s="10" t="s">
        <v>247</v>
      </c>
      <c r="B210" s="11" t="s">
        <v>310</v>
      </c>
      <c r="C210" s="11" t="s">
        <v>190</v>
      </c>
      <c r="D210" s="4"/>
      <c r="E210" s="4"/>
      <c r="F210" s="16"/>
      <c r="G210" s="16"/>
      <c r="H210" s="16">
        <v>1620.25</v>
      </c>
      <c r="I210" s="16"/>
      <c r="J210" s="16">
        <f>H210</f>
        <v>1620.25</v>
      </c>
      <c r="K210" s="16">
        <v>1620.25</v>
      </c>
    </row>
    <row r="211" spans="1:11" ht="82.5" customHeight="1" x14ac:dyDescent="0.25">
      <c r="A211" s="44" t="s">
        <v>309</v>
      </c>
      <c r="B211" s="37" t="s">
        <v>294</v>
      </c>
      <c r="C211" s="37"/>
      <c r="D211" s="36"/>
      <c r="E211" s="36"/>
      <c r="F211" s="46">
        <f>F212</f>
        <v>3204.57</v>
      </c>
      <c r="G211" s="46">
        <f t="shared" ref="G211:K211" si="121">G212</f>
        <v>0</v>
      </c>
      <c r="H211" s="46">
        <f t="shared" si="121"/>
        <v>0</v>
      </c>
      <c r="I211" s="46">
        <f t="shared" si="121"/>
        <v>0</v>
      </c>
      <c r="J211" s="46">
        <f t="shared" si="121"/>
        <v>3204.57</v>
      </c>
      <c r="K211" s="46">
        <f t="shared" si="121"/>
        <v>3204.57</v>
      </c>
    </row>
    <row r="212" spans="1:11" ht="31.5" customHeight="1" x14ac:dyDescent="0.25">
      <c r="A212" s="10" t="s">
        <v>247</v>
      </c>
      <c r="B212" s="11" t="s">
        <v>294</v>
      </c>
      <c r="C212" s="11" t="s">
        <v>190</v>
      </c>
      <c r="D212" s="4"/>
      <c r="E212" s="4"/>
      <c r="F212" s="16">
        <v>3204.57</v>
      </c>
      <c r="G212" s="16"/>
      <c r="H212" s="16"/>
      <c r="I212" s="16"/>
      <c r="J212" s="16">
        <f>F212+H212</f>
        <v>3204.57</v>
      </c>
      <c r="K212" s="16">
        <v>3204.57</v>
      </c>
    </row>
    <row r="213" spans="1:11" ht="51" customHeight="1" x14ac:dyDescent="0.25">
      <c r="A213" s="44" t="s">
        <v>290</v>
      </c>
      <c r="B213" s="37" t="s">
        <v>291</v>
      </c>
      <c r="C213" s="11"/>
      <c r="D213" s="4"/>
      <c r="E213" s="4"/>
      <c r="F213" s="46">
        <f>F214</f>
        <v>1361.93</v>
      </c>
      <c r="G213" s="46">
        <f t="shared" ref="G213:K213" si="122">G214</f>
        <v>0</v>
      </c>
      <c r="H213" s="46">
        <f t="shared" si="122"/>
        <v>0</v>
      </c>
      <c r="I213" s="46">
        <f t="shared" si="122"/>
        <v>0</v>
      </c>
      <c r="J213" s="46">
        <f t="shared" si="122"/>
        <v>1361.93</v>
      </c>
      <c r="K213" s="46">
        <f t="shared" si="122"/>
        <v>1361.93</v>
      </c>
    </row>
    <row r="214" spans="1:11" ht="30" customHeight="1" x14ac:dyDescent="0.25">
      <c r="A214" s="10" t="s">
        <v>247</v>
      </c>
      <c r="B214" s="11" t="s">
        <v>291</v>
      </c>
      <c r="C214" s="11" t="s">
        <v>190</v>
      </c>
      <c r="D214" s="4"/>
      <c r="E214" s="4"/>
      <c r="F214" s="16">
        <v>1361.93</v>
      </c>
      <c r="G214" s="16"/>
      <c r="H214" s="16"/>
      <c r="I214" s="16"/>
      <c r="J214" s="16">
        <f>F214+H214</f>
        <v>1361.93</v>
      </c>
      <c r="K214" s="16">
        <v>1361.93</v>
      </c>
    </row>
    <row r="215" spans="1:11" ht="51" customHeight="1" x14ac:dyDescent="0.25">
      <c r="A215" s="44" t="s">
        <v>292</v>
      </c>
      <c r="B215" s="37" t="s">
        <v>293</v>
      </c>
      <c r="C215" s="37"/>
      <c r="D215" s="36"/>
      <c r="E215" s="36"/>
      <c r="F215" s="46">
        <f>F216</f>
        <v>1325.76</v>
      </c>
      <c r="G215" s="46">
        <f t="shared" ref="G215:K215" si="123">G216</f>
        <v>0</v>
      </c>
      <c r="H215" s="46">
        <f t="shared" si="123"/>
        <v>0</v>
      </c>
      <c r="I215" s="46">
        <f t="shared" si="123"/>
        <v>0</v>
      </c>
      <c r="J215" s="46">
        <f t="shared" si="123"/>
        <v>1325.76</v>
      </c>
      <c r="K215" s="46">
        <f t="shared" si="123"/>
        <v>1325.76</v>
      </c>
    </row>
    <row r="216" spans="1:11" ht="27.75" customHeight="1" x14ac:dyDescent="0.25">
      <c r="A216" s="10" t="s">
        <v>247</v>
      </c>
      <c r="B216" s="11" t="s">
        <v>293</v>
      </c>
      <c r="C216" s="11" t="s">
        <v>190</v>
      </c>
      <c r="D216" s="4"/>
      <c r="E216" s="4"/>
      <c r="F216" s="16">
        <v>1325.76</v>
      </c>
      <c r="G216" s="16"/>
      <c r="H216" s="16"/>
      <c r="I216" s="16"/>
      <c r="J216" s="16">
        <f>F216+H216</f>
        <v>1325.76</v>
      </c>
      <c r="K216" s="16">
        <v>1325.76</v>
      </c>
    </row>
    <row r="217" spans="1:11" ht="30" customHeight="1" x14ac:dyDescent="0.25">
      <c r="A217" s="44" t="s">
        <v>313</v>
      </c>
      <c r="B217" s="37" t="s">
        <v>158</v>
      </c>
      <c r="C217" s="37"/>
      <c r="D217" s="36"/>
      <c r="E217" s="36"/>
      <c r="F217" s="46">
        <f>F218</f>
        <v>3900</v>
      </c>
      <c r="G217" s="46">
        <f t="shared" ref="G217:K217" si="124">G218</f>
        <v>0</v>
      </c>
      <c r="H217" s="46">
        <f t="shared" si="124"/>
        <v>0</v>
      </c>
      <c r="I217" s="46">
        <f t="shared" si="124"/>
        <v>0</v>
      </c>
      <c r="J217" s="46">
        <f t="shared" si="124"/>
        <v>4521.5</v>
      </c>
      <c r="K217" s="46">
        <f t="shared" si="124"/>
        <v>4521.5</v>
      </c>
    </row>
    <row r="218" spans="1:11" ht="30" customHeight="1" x14ac:dyDescent="0.25">
      <c r="A218" s="44" t="s">
        <v>374</v>
      </c>
      <c r="B218" s="37" t="s">
        <v>158</v>
      </c>
      <c r="C218" s="37"/>
      <c r="D218" s="36">
        <f t="shared" ref="D218:I218" si="125">D220</f>
        <v>3900</v>
      </c>
      <c r="E218" s="36">
        <f t="shared" si="125"/>
        <v>0</v>
      </c>
      <c r="F218" s="46">
        <f t="shared" si="125"/>
        <v>3900</v>
      </c>
      <c r="G218" s="46">
        <f t="shared" si="125"/>
        <v>0</v>
      </c>
      <c r="H218" s="46">
        <f t="shared" si="125"/>
        <v>0</v>
      </c>
      <c r="I218" s="46">
        <f t="shared" si="125"/>
        <v>0</v>
      </c>
      <c r="J218" s="46">
        <f>J219+J220</f>
        <v>4521.5</v>
      </c>
      <c r="K218" s="46">
        <f>K219+K220</f>
        <v>4521.5</v>
      </c>
    </row>
    <row r="219" spans="1:11" ht="30" customHeight="1" x14ac:dyDescent="0.25">
      <c r="A219" s="10" t="s">
        <v>35</v>
      </c>
      <c r="B219" s="11" t="s">
        <v>158</v>
      </c>
      <c r="C219" s="11" t="s">
        <v>36</v>
      </c>
      <c r="D219" s="4">
        <v>3900</v>
      </c>
      <c r="E219" s="4"/>
      <c r="F219" s="16">
        <f>D219+E219</f>
        <v>3900</v>
      </c>
      <c r="G219" s="16"/>
      <c r="H219" s="16"/>
      <c r="I219" s="16"/>
      <c r="J219" s="16">
        <f>F219+621.5</f>
        <v>4521.5</v>
      </c>
      <c r="K219" s="16">
        <f>2097.86+2373.55</f>
        <v>4471.41</v>
      </c>
    </row>
    <row r="220" spans="1:11" ht="30" customHeight="1" x14ac:dyDescent="0.25">
      <c r="A220" s="10" t="s">
        <v>247</v>
      </c>
      <c r="B220" s="11" t="s">
        <v>158</v>
      </c>
      <c r="C220" s="11" t="s">
        <v>190</v>
      </c>
      <c r="D220" s="4">
        <v>3900</v>
      </c>
      <c r="E220" s="4"/>
      <c r="F220" s="16">
        <f>D220+E220</f>
        <v>3900</v>
      </c>
      <c r="G220" s="16"/>
      <c r="H220" s="16"/>
      <c r="I220" s="16"/>
      <c r="J220" s="16">
        <v>0</v>
      </c>
      <c r="K220" s="16">
        <v>50.09</v>
      </c>
    </row>
    <row r="221" spans="1:11" ht="25.5" customHeight="1" x14ac:dyDescent="0.25">
      <c r="A221" s="44" t="s">
        <v>315</v>
      </c>
      <c r="B221" s="37" t="s">
        <v>316</v>
      </c>
      <c r="C221" s="37"/>
      <c r="D221" s="36" t="e">
        <f>#REF!</f>
        <v>#REF!</v>
      </c>
      <c r="E221" s="36" t="e">
        <f>#REF!</f>
        <v>#REF!</v>
      </c>
      <c r="F221" s="46">
        <f>F223</f>
        <v>0</v>
      </c>
      <c r="G221" s="46">
        <f t="shared" ref="G221:I221" si="126">G223</f>
        <v>1093.54</v>
      </c>
      <c r="H221" s="46">
        <f t="shared" si="126"/>
        <v>0</v>
      </c>
      <c r="I221" s="46">
        <f t="shared" si="126"/>
        <v>69.739999999999995</v>
      </c>
      <c r="J221" s="46">
        <f>J222+J223</f>
        <v>1163.28</v>
      </c>
      <c r="K221" s="46">
        <f>K222+K223</f>
        <v>3761.48</v>
      </c>
    </row>
    <row r="222" spans="1:11" s="2" customFormat="1" ht="30" customHeight="1" x14ac:dyDescent="0.25">
      <c r="A222" s="10" t="s">
        <v>35</v>
      </c>
      <c r="B222" s="11" t="s">
        <v>316</v>
      </c>
      <c r="C222" s="11" t="s">
        <v>36</v>
      </c>
      <c r="D222" s="4">
        <f>D230</f>
        <v>4500</v>
      </c>
      <c r="E222" s="4">
        <f>E230</f>
        <v>0</v>
      </c>
      <c r="F222" s="16"/>
      <c r="G222" s="16">
        <v>1093.54</v>
      </c>
      <c r="H222" s="16"/>
      <c r="I222" s="16">
        <v>69.739999999999995</v>
      </c>
      <c r="J222" s="16">
        <f>G222+I222</f>
        <v>1163.28</v>
      </c>
      <c r="K222" s="16">
        <f>1598.21+101.63</f>
        <v>1699.8400000000001</v>
      </c>
    </row>
    <row r="223" spans="1:11" s="2" customFormat="1" ht="30" customHeight="1" x14ac:dyDescent="0.25">
      <c r="A223" s="10" t="s">
        <v>247</v>
      </c>
      <c r="B223" s="11" t="s">
        <v>316</v>
      </c>
      <c r="C223" s="11" t="s">
        <v>190</v>
      </c>
      <c r="D223" s="4">
        <f>D232</f>
        <v>4500</v>
      </c>
      <c r="E223" s="4">
        <f>E232</f>
        <v>0</v>
      </c>
      <c r="F223" s="16"/>
      <c r="G223" s="16">
        <v>1093.54</v>
      </c>
      <c r="H223" s="16"/>
      <c r="I223" s="16">
        <v>69.739999999999995</v>
      </c>
      <c r="J223" s="16">
        <v>0</v>
      </c>
      <c r="K223" s="16">
        <v>2061.64</v>
      </c>
    </row>
    <row r="224" spans="1:11" s="2" customFormat="1" ht="30" customHeight="1" x14ac:dyDescent="0.25">
      <c r="A224" s="24" t="s">
        <v>367</v>
      </c>
      <c r="B224" s="25" t="s">
        <v>241</v>
      </c>
      <c r="C224" s="25"/>
      <c r="D224" s="27">
        <f>D225</f>
        <v>0</v>
      </c>
      <c r="E224" s="27">
        <f t="shared" ref="E224:I225" si="127">E225</f>
        <v>0</v>
      </c>
      <c r="F224" s="27">
        <f t="shared" si="127"/>
        <v>12200</v>
      </c>
      <c r="G224" s="27">
        <f t="shared" si="127"/>
        <v>3677.51</v>
      </c>
      <c r="H224" s="27">
        <f t="shared" si="127"/>
        <v>0</v>
      </c>
      <c r="I224" s="27">
        <f t="shared" si="127"/>
        <v>175.9</v>
      </c>
      <c r="J224" s="27">
        <f>J225+J230+J233+J235+J237</f>
        <v>39271.79</v>
      </c>
      <c r="K224" s="27">
        <f>K225+K230+K233+K235+K237</f>
        <v>71354.259999999995</v>
      </c>
    </row>
    <row r="225" spans="1:11" s="2" customFormat="1" ht="30" customHeight="1" x14ac:dyDescent="0.25">
      <c r="A225" s="21" t="s">
        <v>304</v>
      </c>
      <c r="B225" s="22" t="s">
        <v>295</v>
      </c>
      <c r="C225" s="22"/>
      <c r="D225" s="28">
        <f>D226</f>
        <v>0</v>
      </c>
      <c r="E225" s="28">
        <f t="shared" si="127"/>
        <v>0</v>
      </c>
      <c r="F225" s="28">
        <f>F226+F228</f>
        <v>12200</v>
      </c>
      <c r="G225" s="28">
        <f t="shared" ref="G225:J225" si="128">G226+G228</f>
        <v>3677.51</v>
      </c>
      <c r="H225" s="28">
        <f t="shared" si="128"/>
        <v>0</v>
      </c>
      <c r="I225" s="28">
        <f t="shared" si="128"/>
        <v>175.9</v>
      </c>
      <c r="J225" s="28">
        <f t="shared" si="128"/>
        <v>16053.41</v>
      </c>
      <c r="K225" s="28">
        <f t="shared" ref="K225" si="129">K226+K228</f>
        <v>40352.619999999995</v>
      </c>
    </row>
    <row r="226" spans="1:11" s="2" customFormat="1" ht="51.75" customHeight="1" x14ac:dyDescent="0.25">
      <c r="A226" s="44" t="s">
        <v>305</v>
      </c>
      <c r="B226" s="37" t="s">
        <v>295</v>
      </c>
      <c r="C226" s="37"/>
      <c r="D226" s="46">
        <f>D229</f>
        <v>0</v>
      </c>
      <c r="E226" s="46">
        <f>E229</f>
        <v>0</v>
      </c>
      <c r="F226" s="46">
        <f>F227</f>
        <v>12200</v>
      </c>
      <c r="G226" s="46">
        <f t="shared" ref="G226:K226" si="130">G227</f>
        <v>0</v>
      </c>
      <c r="H226" s="46">
        <f t="shared" si="130"/>
        <v>0</v>
      </c>
      <c r="I226" s="46">
        <f t="shared" si="130"/>
        <v>0</v>
      </c>
      <c r="J226" s="46">
        <f t="shared" si="130"/>
        <v>12200</v>
      </c>
      <c r="K226" s="46">
        <f t="shared" si="130"/>
        <v>13200</v>
      </c>
    </row>
    <row r="227" spans="1:11" s="2" customFormat="1" ht="30" customHeight="1" x14ac:dyDescent="0.25">
      <c r="A227" s="10" t="s">
        <v>35</v>
      </c>
      <c r="B227" s="11" t="s">
        <v>295</v>
      </c>
      <c r="C227" s="11" t="s">
        <v>36</v>
      </c>
      <c r="D227" s="16">
        <v>12200</v>
      </c>
      <c r="E227" s="16"/>
      <c r="F227" s="16">
        <f>D227+E227</f>
        <v>12200</v>
      </c>
      <c r="G227" s="16"/>
      <c r="H227" s="16"/>
      <c r="I227" s="16"/>
      <c r="J227" s="16">
        <f>F227+G227+I227</f>
        <v>12200</v>
      </c>
      <c r="K227" s="16">
        <v>13200</v>
      </c>
    </row>
    <row r="228" spans="1:11" s="2" customFormat="1" ht="30" customHeight="1" x14ac:dyDescent="0.25">
      <c r="A228" s="44" t="s">
        <v>306</v>
      </c>
      <c r="B228" s="37" t="s">
        <v>295</v>
      </c>
      <c r="C228" s="37"/>
      <c r="D228" s="46"/>
      <c r="E228" s="46"/>
      <c r="F228" s="46"/>
      <c r="G228" s="46">
        <f t="shared" ref="G228:K228" si="131">G229</f>
        <v>3677.51</v>
      </c>
      <c r="H228" s="46">
        <f t="shared" si="131"/>
        <v>0</v>
      </c>
      <c r="I228" s="46">
        <f t="shared" si="131"/>
        <v>175.9</v>
      </c>
      <c r="J228" s="46">
        <f t="shared" si="131"/>
        <v>3853.4100000000003</v>
      </c>
      <c r="K228" s="46">
        <f t="shared" si="131"/>
        <v>27152.62</v>
      </c>
    </row>
    <row r="229" spans="1:11" s="2" customFormat="1" ht="30" customHeight="1" x14ac:dyDescent="0.25">
      <c r="A229" s="10" t="s">
        <v>35</v>
      </c>
      <c r="B229" s="11" t="s">
        <v>295</v>
      </c>
      <c r="C229" s="11" t="s">
        <v>36</v>
      </c>
      <c r="D229" s="16"/>
      <c r="E229" s="16"/>
      <c r="F229" s="16"/>
      <c r="G229" s="16">
        <v>3677.51</v>
      </c>
      <c r="H229" s="16"/>
      <c r="I229" s="16">
        <v>175.9</v>
      </c>
      <c r="J229" s="16">
        <f>G229+I229</f>
        <v>3853.4100000000003</v>
      </c>
      <c r="K229" s="16">
        <v>27152.62</v>
      </c>
    </row>
    <row r="230" spans="1:11" ht="30" customHeight="1" x14ac:dyDescent="0.25">
      <c r="A230" s="44" t="s">
        <v>317</v>
      </c>
      <c r="B230" s="37" t="s">
        <v>242</v>
      </c>
      <c r="C230" s="37"/>
      <c r="D230" s="36">
        <f>D232</f>
        <v>4500</v>
      </c>
      <c r="E230" s="36">
        <f>E232</f>
        <v>0</v>
      </c>
      <c r="F230" s="46">
        <f>F232+F234</f>
        <v>4500</v>
      </c>
      <c r="G230" s="46">
        <f t="shared" ref="G230:I230" si="132">G232+G234</f>
        <v>3964.13</v>
      </c>
      <c r="H230" s="46">
        <f t="shared" si="132"/>
        <v>0</v>
      </c>
      <c r="I230" s="46">
        <f t="shared" si="132"/>
        <v>4500</v>
      </c>
      <c r="J230" s="46">
        <f>J232</f>
        <v>3964.130000000001</v>
      </c>
      <c r="K230" s="46">
        <f>K231+K232</f>
        <v>11747.390000000001</v>
      </c>
    </row>
    <row r="231" spans="1:11" ht="33.75" customHeight="1" x14ac:dyDescent="0.25">
      <c r="A231" s="10" t="s">
        <v>35</v>
      </c>
      <c r="B231" s="11" t="s">
        <v>242</v>
      </c>
      <c r="C231" s="11" t="s">
        <v>36</v>
      </c>
      <c r="D231" s="4">
        <v>4500</v>
      </c>
      <c r="E231" s="4"/>
      <c r="F231" s="16">
        <v>4500</v>
      </c>
      <c r="G231" s="16">
        <v>3964.13</v>
      </c>
      <c r="H231" s="16"/>
      <c r="I231" s="16">
        <f>-3427.31-1072.69</f>
        <v>-4500</v>
      </c>
      <c r="J231" s="16">
        <f>F231+G231+I231</f>
        <v>3964.130000000001</v>
      </c>
      <c r="K231" s="16">
        <v>9719.94</v>
      </c>
    </row>
    <row r="232" spans="1:11" ht="33.75" customHeight="1" x14ac:dyDescent="0.25">
      <c r="A232" s="10" t="s">
        <v>247</v>
      </c>
      <c r="B232" s="11" t="s">
        <v>242</v>
      </c>
      <c r="C232" s="11" t="s">
        <v>190</v>
      </c>
      <c r="D232" s="4">
        <v>4500</v>
      </c>
      <c r="E232" s="4"/>
      <c r="F232" s="16">
        <v>4500</v>
      </c>
      <c r="G232" s="16">
        <v>3964.13</v>
      </c>
      <c r="H232" s="16"/>
      <c r="I232" s="16">
        <f>-3427.31-1072.69</f>
        <v>-4500</v>
      </c>
      <c r="J232" s="16">
        <f>F232+G232+I232</f>
        <v>3964.130000000001</v>
      </c>
      <c r="K232" s="16">
        <v>2027.45</v>
      </c>
    </row>
    <row r="233" spans="1:11" ht="97.5" customHeight="1" x14ac:dyDescent="0.25">
      <c r="A233" s="75" t="s">
        <v>340</v>
      </c>
      <c r="B233" s="76" t="s">
        <v>366</v>
      </c>
      <c r="C233" s="76"/>
      <c r="D233" s="77">
        <v>4500</v>
      </c>
      <c r="E233" s="77"/>
      <c r="F233" s="78"/>
      <c r="G233" s="78"/>
      <c r="H233" s="78"/>
      <c r="I233" s="78">
        <f>4500+4500</f>
        <v>9000</v>
      </c>
      <c r="J233" s="78">
        <f>J234</f>
        <v>4500</v>
      </c>
      <c r="K233" s="78">
        <f>K234</f>
        <v>4500</v>
      </c>
    </row>
    <row r="234" spans="1:11" ht="19.5" customHeight="1" x14ac:dyDescent="0.25">
      <c r="A234" s="10" t="s">
        <v>314</v>
      </c>
      <c r="B234" s="11" t="s">
        <v>366</v>
      </c>
      <c r="C234" s="11" t="s">
        <v>54</v>
      </c>
      <c r="D234" s="4">
        <v>4500</v>
      </c>
      <c r="E234" s="4"/>
      <c r="F234" s="16"/>
      <c r="G234" s="16"/>
      <c r="H234" s="16"/>
      <c r="I234" s="16">
        <f>4500+4500</f>
        <v>9000</v>
      </c>
      <c r="J234" s="16">
        <f>F234+G234+I234-4500</f>
        <v>4500</v>
      </c>
      <c r="K234" s="16">
        <v>4500</v>
      </c>
    </row>
    <row r="235" spans="1:11" ht="36.75" customHeight="1" x14ac:dyDescent="0.25">
      <c r="A235" s="44" t="s">
        <v>362</v>
      </c>
      <c r="B235" s="37" t="s">
        <v>363</v>
      </c>
      <c r="C235" s="37"/>
      <c r="D235" s="36"/>
      <c r="E235" s="36"/>
      <c r="F235" s="46"/>
      <c r="G235" s="46"/>
      <c r="H235" s="46"/>
      <c r="I235" s="46"/>
      <c r="J235" s="46">
        <f>J236</f>
        <v>5000</v>
      </c>
      <c r="K235" s="46">
        <f>K236</f>
        <v>5000</v>
      </c>
    </row>
    <row r="236" spans="1:11" ht="39" customHeight="1" x14ac:dyDescent="0.25">
      <c r="A236" s="10" t="s">
        <v>35</v>
      </c>
      <c r="B236" s="11" t="s">
        <v>363</v>
      </c>
      <c r="C236" s="11" t="s">
        <v>36</v>
      </c>
      <c r="D236" s="4"/>
      <c r="E236" s="4"/>
      <c r="F236" s="16"/>
      <c r="G236" s="16"/>
      <c r="H236" s="16"/>
      <c r="I236" s="16"/>
      <c r="J236" s="16">
        <v>5000</v>
      </c>
      <c r="K236" s="16">
        <v>5000</v>
      </c>
    </row>
    <row r="237" spans="1:11" ht="21" customHeight="1" x14ac:dyDescent="0.25">
      <c r="A237" s="44" t="s">
        <v>352</v>
      </c>
      <c r="B237" s="37" t="s">
        <v>241</v>
      </c>
      <c r="C237" s="37"/>
      <c r="D237" s="36"/>
      <c r="E237" s="36"/>
      <c r="F237" s="46"/>
      <c r="G237" s="46"/>
      <c r="H237" s="46"/>
      <c r="I237" s="46"/>
      <c r="J237" s="46">
        <f>J238+J240</f>
        <v>9754.25</v>
      </c>
      <c r="K237" s="46">
        <f>K238+K240</f>
        <v>9754.25</v>
      </c>
    </row>
    <row r="238" spans="1:11" ht="36.75" customHeight="1" x14ac:dyDescent="0.25">
      <c r="A238" s="44" t="s">
        <v>351</v>
      </c>
      <c r="B238" s="37" t="s">
        <v>353</v>
      </c>
      <c r="C238" s="37"/>
      <c r="D238" s="36"/>
      <c r="E238" s="36"/>
      <c r="F238" s="46"/>
      <c r="G238" s="46"/>
      <c r="H238" s="46"/>
      <c r="I238" s="46"/>
      <c r="J238" s="46">
        <f>J239</f>
        <v>5249</v>
      </c>
      <c r="K238" s="46">
        <f>K239</f>
        <v>5249</v>
      </c>
    </row>
    <row r="239" spans="1:11" ht="23.25" customHeight="1" x14ac:dyDescent="0.25">
      <c r="A239" s="10" t="s">
        <v>250</v>
      </c>
      <c r="B239" s="11" t="s">
        <v>353</v>
      </c>
      <c r="C239" s="11" t="s">
        <v>54</v>
      </c>
      <c r="D239" s="4"/>
      <c r="E239" s="4"/>
      <c r="F239" s="16"/>
      <c r="G239" s="16"/>
      <c r="H239" s="16"/>
      <c r="I239" s="16"/>
      <c r="J239" s="16">
        <v>5249</v>
      </c>
      <c r="K239" s="16">
        <v>5249</v>
      </c>
    </row>
    <row r="240" spans="1:11" ht="28.5" customHeight="1" x14ac:dyDescent="0.25">
      <c r="A240" s="44" t="s">
        <v>364</v>
      </c>
      <c r="B240" s="37" t="s">
        <v>365</v>
      </c>
      <c r="C240" s="11"/>
      <c r="D240" s="4"/>
      <c r="E240" s="4"/>
      <c r="F240" s="16"/>
      <c r="G240" s="16"/>
      <c r="H240" s="16"/>
      <c r="I240" s="16"/>
      <c r="J240" s="46">
        <f>J241</f>
        <v>4505.25</v>
      </c>
      <c r="K240" s="46">
        <f>K241</f>
        <v>4505.25</v>
      </c>
    </row>
    <row r="241" spans="1:11" ht="28.5" customHeight="1" x14ac:dyDescent="0.25">
      <c r="A241" s="10" t="s">
        <v>250</v>
      </c>
      <c r="B241" s="11" t="s">
        <v>365</v>
      </c>
      <c r="C241" s="11" t="s">
        <v>54</v>
      </c>
      <c r="D241" s="4"/>
      <c r="E241" s="4"/>
      <c r="F241" s="16"/>
      <c r="G241" s="16"/>
      <c r="H241" s="16"/>
      <c r="I241" s="16"/>
      <c r="J241" s="16">
        <v>4505.25</v>
      </c>
      <c r="K241" s="16">
        <v>4505.25</v>
      </c>
    </row>
    <row r="242" spans="1:11" ht="33.75" customHeight="1" x14ac:dyDescent="0.25">
      <c r="A242" s="5" t="s">
        <v>78</v>
      </c>
      <c r="B242" s="7" t="s">
        <v>79</v>
      </c>
      <c r="C242" s="7"/>
      <c r="D242" s="6">
        <f>D243+D246+D253+D299+D301</f>
        <v>96627.310000000012</v>
      </c>
      <c r="E242" s="6">
        <f>E243+E253+E246+E301+E297+E299</f>
        <v>260</v>
      </c>
      <c r="F242" s="15">
        <f>F243+F253+F251+F246+F301+F297+F299</f>
        <v>260115.17</v>
      </c>
      <c r="G242" s="15">
        <f t="shared" ref="G242:J242" si="133">G243+G253+G251+G246+G301+G297+G299</f>
        <v>0</v>
      </c>
      <c r="H242" s="15">
        <f t="shared" si="133"/>
        <v>-3000.01</v>
      </c>
      <c r="I242" s="15">
        <f t="shared" si="133"/>
        <v>0</v>
      </c>
      <c r="J242" s="15">
        <f t="shared" si="133"/>
        <v>172611.74000000002</v>
      </c>
      <c r="K242" s="15">
        <f>K243+K253+K251+K246+K301+K297+K299</f>
        <v>172611.73999999996</v>
      </c>
    </row>
    <row r="243" spans="1:11" ht="51.75" customHeight="1" x14ac:dyDescent="0.25">
      <c r="A243" s="21" t="s">
        <v>80</v>
      </c>
      <c r="B243" s="29" t="s">
        <v>81</v>
      </c>
      <c r="C243" s="29"/>
      <c r="D243" s="30">
        <f t="shared" ref="D243:K244" si="134">D244</f>
        <v>2295</v>
      </c>
      <c r="E243" s="30">
        <f t="shared" si="134"/>
        <v>0</v>
      </c>
      <c r="F243" s="65">
        <f t="shared" si="134"/>
        <v>2295</v>
      </c>
      <c r="G243" s="65">
        <f t="shared" si="134"/>
        <v>0</v>
      </c>
      <c r="H243" s="65">
        <f t="shared" si="134"/>
        <v>0</v>
      </c>
      <c r="I243" s="65">
        <f t="shared" si="134"/>
        <v>0</v>
      </c>
      <c r="J243" s="65">
        <f t="shared" si="134"/>
        <v>2710</v>
      </c>
      <c r="K243" s="65">
        <f t="shared" si="134"/>
        <v>2710</v>
      </c>
    </row>
    <row r="244" spans="1:11" ht="66.75" customHeight="1" x14ac:dyDescent="0.25">
      <c r="A244" s="44" t="s">
        <v>85</v>
      </c>
      <c r="B244" s="49" t="s">
        <v>82</v>
      </c>
      <c r="C244" s="49"/>
      <c r="D244" s="50">
        <f t="shared" si="134"/>
        <v>2295</v>
      </c>
      <c r="E244" s="50">
        <f t="shared" si="134"/>
        <v>0</v>
      </c>
      <c r="F244" s="66">
        <f t="shared" si="134"/>
        <v>2295</v>
      </c>
      <c r="G244" s="66">
        <f t="shared" si="134"/>
        <v>0</v>
      </c>
      <c r="H244" s="66">
        <f t="shared" si="134"/>
        <v>0</v>
      </c>
      <c r="I244" s="66">
        <f t="shared" si="134"/>
        <v>0</v>
      </c>
      <c r="J244" s="66">
        <f t="shared" si="134"/>
        <v>2710</v>
      </c>
      <c r="K244" s="66">
        <f t="shared" si="134"/>
        <v>2710</v>
      </c>
    </row>
    <row r="245" spans="1:11" ht="84" customHeight="1" x14ac:dyDescent="0.25">
      <c r="A245" s="10" t="s">
        <v>33</v>
      </c>
      <c r="B245" s="14" t="s">
        <v>82</v>
      </c>
      <c r="C245" s="14" t="s">
        <v>34</v>
      </c>
      <c r="D245" s="13">
        <v>2295</v>
      </c>
      <c r="E245" s="13"/>
      <c r="F245" s="67">
        <f>D245+E245</f>
        <v>2295</v>
      </c>
      <c r="G245" s="67"/>
      <c r="H245" s="67"/>
      <c r="I245" s="67"/>
      <c r="J245" s="67">
        <f>F245+415</f>
        <v>2710</v>
      </c>
      <c r="K245" s="67">
        <v>2710</v>
      </c>
    </row>
    <row r="246" spans="1:11" ht="34.5" customHeight="1" x14ac:dyDescent="0.25">
      <c r="A246" s="21" t="s">
        <v>52</v>
      </c>
      <c r="B246" s="33" t="s">
        <v>95</v>
      </c>
      <c r="C246" s="33"/>
      <c r="D246" s="34">
        <f t="shared" ref="D246:K246" si="135">D247</f>
        <v>2749.6</v>
      </c>
      <c r="E246" s="34">
        <f t="shared" si="135"/>
        <v>0</v>
      </c>
      <c r="F246" s="68">
        <f t="shared" si="135"/>
        <v>2749.6</v>
      </c>
      <c r="G246" s="68">
        <f t="shared" si="135"/>
        <v>0</v>
      </c>
      <c r="H246" s="68">
        <f t="shared" si="135"/>
        <v>0</v>
      </c>
      <c r="I246" s="68">
        <f t="shared" si="135"/>
        <v>0</v>
      </c>
      <c r="J246" s="68">
        <f t="shared" si="135"/>
        <v>3020.3500000000004</v>
      </c>
      <c r="K246" s="68">
        <f t="shared" si="135"/>
        <v>3108.27</v>
      </c>
    </row>
    <row r="247" spans="1:11" s="71" customFormat="1" ht="30.75" customHeight="1" x14ac:dyDescent="0.25">
      <c r="A247" s="44" t="s">
        <v>2</v>
      </c>
      <c r="B247" s="49" t="s">
        <v>95</v>
      </c>
      <c r="C247" s="49"/>
      <c r="D247" s="50">
        <f>SUM(D248:D252)</f>
        <v>2749.6</v>
      </c>
      <c r="E247" s="50">
        <f>SUM(E248:E252)</f>
        <v>0</v>
      </c>
      <c r="F247" s="66">
        <f>F248+F249+F250</f>
        <v>2749.6</v>
      </c>
      <c r="G247" s="66">
        <f t="shared" ref="G247:J247" si="136">G248+G249+G250</f>
        <v>0</v>
      </c>
      <c r="H247" s="66">
        <f t="shared" si="136"/>
        <v>0</v>
      </c>
      <c r="I247" s="66">
        <f t="shared" si="136"/>
        <v>0</v>
      </c>
      <c r="J247" s="66">
        <f t="shared" si="136"/>
        <v>3020.3500000000004</v>
      </c>
      <c r="K247" s="66">
        <f t="shared" ref="K247" si="137">K248+K249+K250</f>
        <v>3108.27</v>
      </c>
    </row>
    <row r="248" spans="1:11" ht="78.75" customHeight="1" x14ac:dyDescent="0.25">
      <c r="A248" s="10" t="s">
        <v>33</v>
      </c>
      <c r="B248" s="14" t="s">
        <v>95</v>
      </c>
      <c r="C248" s="14" t="s">
        <v>34</v>
      </c>
      <c r="D248" s="13">
        <v>2074.6</v>
      </c>
      <c r="E248" s="13"/>
      <c r="F248" s="67">
        <f>D248+E248</f>
        <v>2074.6</v>
      </c>
      <c r="G248" s="67"/>
      <c r="H248" s="67"/>
      <c r="I248" s="67">
        <v>27.26</v>
      </c>
      <c r="J248" s="67">
        <f>F248+I248+270.75</f>
        <v>2372.61</v>
      </c>
      <c r="K248" s="67">
        <v>2412.61</v>
      </c>
    </row>
    <row r="249" spans="1:11" ht="31.5" x14ac:dyDescent="0.25">
      <c r="A249" s="10" t="s">
        <v>35</v>
      </c>
      <c r="B249" s="14" t="s">
        <v>95</v>
      </c>
      <c r="C249" s="14" t="s">
        <v>36</v>
      </c>
      <c r="D249" s="13">
        <v>653</v>
      </c>
      <c r="E249" s="13"/>
      <c r="F249" s="67">
        <f>D249+E249</f>
        <v>653</v>
      </c>
      <c r="G249" s="67"/>
      <c r="H249" s="67"/>
      <c r="I249" s="67">
        <v>-27.26</v>
      </c>
      <c r="J249" s="67">
        <f t="shared" ref="J249:J250" si="138">F249+I249</f>
        <v>625.74</v>
      </c>
      <c r="K249" s="67">
        <v>673.66</v>
      </c>
    </row>
    <row r="250" spans="1:11" ht="15.75" x14ac:dyDescent="0.25">
      <c r="A250" s="10" t="s">
        <v>55</v>
      </c>
      <c r="B250" s="14" t="s">
        <v>95</v>
      </c>
      <c r="C250" s="14" t="s">
        <v>54</v>
      </c>
      <c r="D250" s="13">
        <v>22</v>
      </c>
      <c r="E250" s="13"/>
      <c r="F250" s="67">
        <f>D250+E250</f>
        <v>22</v>
      </c>
      <c r="G250" s="67"/>
      <c r="H250" s="67"/>
      <c r="I250" s="67"/>
      <c r="J250" s="67">
        <f t="shared" si="138"/>
        <v>22</v>
      </c>
      <c r="K250" s="67">
        <v>22</v>
      </c>
    </row>
    <row r="251" spans="1:11" s="71" customFormat="1" ht="47.25" x14ac:dyDescent="0.25">
      <c r="A251" s="44" t="s">
        <v>321</v>
      </c>
      <c r="B251" s="49" t="s">
        <v>320</v>
      </c>
      <c r="C251" s="49"/>
      <c r="D251" s="50"/>
      <c r="E251" s="50"/>
      <c r="F251" s="66">
        <f>F252</f>
        <v>0</v>
      </c>
      <c r="G251" s="66">
        <f t="shared" ref="G251:K251" si="139">G252</f>
        <v>0</v>
      </c>
      <c r="H251" s="66">
        <f t="shared" si="139"/>
        <v>0</v>
      </c>
      <c r="I251" s="66">
        <f t="shared" si="139"/>
        <v>50</v>
      </c>
      <c r="J251" s="66">
        <f t="shared" si="139"/>
        <v>50</v>
      </c>
      <c r="K251" s="66">
        <f t="shared" si="139"/>
        <v>8.58</v>
      </c>
    </row>
    <row r="252" spans="1:11" ht="31.5" x14ac:dyDescent="0.25">
      <c r="A252" s="10" t="s">
        <v>35</v>
      </c>
      <c r="B252" s="14" t="s">
        <v>320</v>
      </c>
      <c r="C252" s="14" t="s">
        <v>36</v>
      </c>
      <c r="D252" s="13"/>
      <c r="E252" s="13"/>
      <c r="F252" s="67"/>
      <c r="G252" s="67"/>
      <c r="H252" s="67"/>
      <c r="I252" s="67">
        <v>50</v>
      </c>
      <c r="J252" s="67">
        <f>I252</f>
        <v>50</v>
      </c>
      <c r="K252" s="67">
        <v>8.58</v>
      </c>
    </row>
    <row r="253" spans="1:11" ht="31.5" x14ac:dyDescent="0.25">
      <c r="A253" s="24" t="s">
        <v>93</v>
      </c>
      <c r="B253" s="25" t="s">
        <v>94</v>
      </c>
      <c r="C253" s="25"/>
      <c r="D253" s="26">
        <f>D254</f>
        <v>89688</v>
      </c>
      <c r="E253" s="26"/>
      <c r="F253" s="27">
        <f t="shared" ref="F253:K253" si="140">F254</f>
        <v>253046.01</v>
      </c>
      <c r="G253" s="27">
        <f t="shared" si="140"/>
        <v>0</v>
      </c>
      <c r="H253" s="27">
        <f t="shared" si="140"/>
        <v>-3000.01</v>
      </c>
      <c r="I253" s="27">
        <f t="shared" si="140"/>
        <v>0</v>
      </c>
      <c r="J253" s="27">
        <f t="shared" si="140"/>
        <v>164893.76000000001</v>
      </c>
      <c r="K253" s="27">
        <f t="shared" si="140"/>
        <v>164893.75999999998</v>
      </c>
    </row>
    <row r="254" spans="1:11" ht="48.75" customHeight="1" x14ac:dyDescent="0.25">
      <c r="A254" s="21" t="s">
        <v>92</v>
      </c>
      <c r="B254" s="22" t="s">
        <v>94</v>
      </c>
      <c r="C254" s="22"/>
      <c r="D254" s="23">
        <f>D255+D257+D259+D261+D263+D265+D267+D269+D271+D273+D277+D279+D281+D283+D285+D287</f>
        <v>89688</v>
      </c>
      <c r="E254" s="23"/>
      <c r="F254" s="28">
        <f>F255+F257+F259+F261+F263+F265+F267+F269+F271+F273+F277+F279+F281+F283+F285+F287+F275</f>
        <v>253046.01</v>
      </c>
      <c r="G254" s="28">
        <f t="shared" ref="G254:I254" si="141">G255+G257+G259+G261+G263+G265+G267+G269+G271+G273+G277+G279+G281+G283+G285+G287+G275</f>
        <v>0</v>
      </c>
      <c r="H254" s="28">
        <f t="shared" si="141"/>
        <v>-3000.01</v>
      </c>
      <c r="I254" s="28">
        <f t="shared" si="141"/>
        <v>0</v>
      </c>
      <c r="J254" s="28">
        <f>J255+J257+J259+J261+J263+J265+J267+J269+J271+J273+J277+J279+J281+J283+J285+J287+J275+J289+J291+J293+J295</f>
        <v>164893.76000000001</v>
      </c>
      <c r="K254" s="28">
        <f>K255+K257+K259+K261+K263+K265+K267+K269+K271+K273+K277+K279+K281+K283+K285+K287+K275+K289+K291+K293+K295</f>
        <v>164893.75999999998</v>
      </c>
    </row>
    <row r="255" spans="1:11" s="3" customFormat="1" ht="31.5" x14ac:dyDescent="0.25">
      <c r="A255" s="60" t="s">
        <v>249</v>
      </c>
      <c r="B255" s="49" t="s">
        <v>265</v>
      </c>
      <c r="C255" s="49"/>
      <c r="D255" s="50">
        <f>D256</f>
        <v>340</v>
      </c>
      <c r="E255" s="50"/>
      <c r="F255" s="66">
        <f t="shared" ref="F255:K255" si="142">F256</f>
        <v>460.28</v>
      </c>
      <c r="G255" s="66">
        <f t="shared" si="142"/>
        <v>0</v>
      </c>
      <c r="H255" s="66">
        <f t="shared" si="142"/>
        <v>0</v>
      </c>
      <c r="I255" s="66">
        <f t="shared" si="142"/>
        <v>0</v>
      </c>
      <c r="J255" s="66">
        <f t="shared" si="142"/>
        <v>460.28</v>
      </c>
      <c r="K255" s="66">
        <f t="shared" si="142"/>
        <v>460.28</v>
      </c>
    </row>
    <row r="256" spans="1:11" s="3" customFormat="1" ht="15.75" x14ac:dyDescent="0.25">
      <c r="A256" s="31" t="s">
        <v>250</v>
      </c>
      <c r="B256" s="14" t="s">
        <v>265</v>
      </c>
      <c r="C256" s="14" t="s">
        <v>54</v>
      </c>
      <c r="D256" s="13">
        <v>340</v>
      </c>
      <c r="E256" s="13"/>
      <c r="F256" s="67">
        <f>D256+E256+120.28</f>
        <v>460.28</v>
      </c>
      <c r="G256" s="67"/>
      <c r="H256" s="67"/>
      <c r="I256" s="67"/>
      <c r="J256" s="67">
        <f>F256+H256</f>
        <v>460.28</v>
      </c>
      <c r="K256" s="67">
        <v>460.28</v>
      </c>
    </row>
    <row r="257" spans="1:11" s="3" customFormat="1" ht="63" x14ac:dyDescent="0.25">
      <c r="A257" s="52" t="s">
        <v>251</v>
      </c>
      <c r="B257" s="49" t="s">
        <v>266</v>
      </c>
      <c r="C257" s="49"/>
      <c r="D257" s="50">
        <f>D258</f>
        <v>9917.41</v>
      </c>
      <c r="E257" s="50"/>
      <c r="F257" s="66">
        <f t="shared" ref="F257:K257" si="143">F258</f>
        <v>9917.41</v>
      </c>
      <c r="G257" s="66">
        <f t="shared" si="143"/>
        <v>0</v>
      </c>
      <c r="H257" s="66">
        <f t="shared" si="143"/>
        <v>0.01</v>
      </c>
      <c r="I257" s="66">
        <f t="shared" si="143"/>
        <v>0</v>
      </c>
      <c r="J257" s="66">
        <f t="shared" si="143"/>
        <v>2931.8199999999997</v>
      </c>
      <c r="K257" s="66">
        <f t="shared" si="143"/>
        <v>2931.82</v>
      </c>
    </row>
    <row r="258" spans="1:11" s="3" customFormat="1" ht="15.75" x14ac:dyDescent="0.25">
      <c r="A258" s="32" t="s">
        <v>250</v>
      </c>
      <c r="B258" s="14" t="s">
        <v>266</v>
      </c>
      <c r="C258" s="14" t="s">
        <v>54</v>
      </c>
      <c r="D258" s="13">
        <v>9917.41</v>
      </c>
      <c r="E258" s="13"/>
      <c r="F258" s="67">
        <f>D258+E258</f>
        <v>9917.41</v>
      </c>
      <c r="G258" s="67"/>
      <c r="H258" s="67">
        <v>0.01</v>
      </c>
      <c r="I258" s="67"/>
      <c r="J258" s="67">
        <f>F258+H258-6985.6</f>
        <v>2931.8199999999997</v>
      </c>
      <c r="K258" s="67">
        <v>2931.82</v>
      </c>
    </row>
    <row r="259" spans="1:11" s="3" customFormat="1" ht="78.75" x14ac:dyDescent="0.25">
      <c r="A259" s="52" t="s">
        <v>252</v>
      </c>
      <c r="B259" s="49" t="s">
        <v>267</v>
      </c>
      <c r="C259" s="49"/>
      <c r="D259" s="50">
        <f>D260</f>
        <v>70</v>
      </c>
      <c r="E259" s="50"/>
      <c r="F259" s="66">
        <f t="shared" ref="F259:K259" si="144">F260</f>
        <v>70</v>
      </c>
      <c r="G259" s="66">
        <f t="shared" si="144"/>
        <v>0</v>
      </c>
      <c r="H259" s="66">
        <f t="shared" si="144"/>
        <v>0</v>
      </c>
      <c r="I259" s="66">
        <f t="shared" si="144"/>
        <v>0</v>
      </c>
      <c r="J259" s="66">
        <f t="shared" si="144"/>
        <v>48</v>
      </c>
      <c r="K259" s="66">
        <f t="shared" si="144"/>
        <v>48</v>
      </c>
    </row>
    <row r="260" spans="1:11" s="3" customFormat="1" ht="15.75" x14ac:dyDescent="0.25">
      <c r="A260" s="32" t="s">
        <v>250</v>
      </c>
      <c r="B260" s="14" t="s">
        <v>267</v>
      </c>
      <c r="C260" s="14" t="s">
        <v>54</v>
      </c>
      <c r="D260" s="13">
        <v>70</v>
      </c>
      <c r="E260" s="13"/>
      <c r="F260" s="67">
        <f>D260+E260</f>
        <v>70</v>
      </c>
      <c r="G260" s="67"/>
      <c r="H260" s="67"/>
      <c r="I260" s="67"/>
      <c r="J260" s="67">
        <f>F260+H260-22</f>
        <v>48</v>
      </c>
      <c r="K260" s="67">
        <v>48</v>
      </c>
    </row>
    <row r="261" spans="1:11" s="3" customFormat="1" ht="47.25" x14ac:dyDescent="0.25">
      <c r="A261" s="52" t="s">
        <v>253</v>
      </c>
      <c r="B261" s="49" t="s">
        <v>268</v>
      </c>
      <c r="C261" s="49"/>
      <c r="D261" s="50">
        <f>D262</f>
        <v>25</v>
      </c>
      <c r="E261" s="50"/>
      <c r="F261" s="66">
        <f t="shared" ref="F261:K261" si="145">F262</f>
        <v>25</v>
      </c>
      <c r="G261" s="66">
        <f t="shared" si="145"/>
        <v>0</v>
      </c>
      <c r="H261" s="66">
        <f t="shared" si="145"/>
        <v>0</v>
      </c>
      <c r="I261" s="66">
        <f t="shared" si="145"/>
        <v>0</v>
      </c>
      <c r="J261" s="66">
        <f t="shared" si="145"/>
        <v>0</v>
      </c>
      <c r="K261" s="66">
        <f t="shared" si="145"/>
        <v>0</v>
      </c>
    </row>
    <row r="262" spans="1:11" s="3" customFormat="1" ht="15.75" x14ac:dyDescent="0.25">
      <c r="A262" s="32" t="s">
        <v>250</v>
      </c>
      <c r="B262" s="14" t="s">
        <v>268</v>
      </c>
      <c r="C262" s="14" t="s">
        <v>54</v>
      </c>
      <c r="D262" s="13">
        <v>25</v>
      </c>
      <c r="E262" s="13"/>
      <c r="F262" s="67">
        <f>D262+E262</f>
        <v>25</v>
      </c>
      <c r="G262" s="67"/>
      <c r="H262" s="67"/>
      <c r="I262" s="67"/>
      <c r="J262" s="67">
        <f>F262+H262-25</f>
        <v>0</v>
      </c>
      <c r="K262" s="67"/>
    </row>
    <row r="263" spans="1:11" s="3" customFormat="1" ht="47.25" x14ac:dyDescent="0.25">
      <c r="A263" s="52" t="s">
        <v>274</v>
      </c>
      <c r="B263" s="49" t="s">
        <v>269</v>
      </c>
      <c r="C263" s="49"/>
      <c r="D263" s="50">
        <f>D264</f>
        <v>1750</v>
      </c>
      <c r="E263" s="50"/>
      <c r="F263" s="66">
        <f t="shared" ref="F263:K263" si="146">F264</f>
        <v>1750</v>
      </c>
      <c r="G263" s="66">
        <f t="shared" si="146"/>
        <v>0</v>
      </c>
      <c r="H263" s="66">
        <f t="shared" si="146"/>
        <v>0</v>
      </c>
      <c r="I263" s="66">
        <f t="shared" si="146"/>
        <v>0</v>
      </c>
      <c r="J263" s="66">
        <f t="shared" si="146"/>
        <v>1150</v>
      </c>
      <c r="K263" s="66">
        <f t="shared" si="146"/>
        <v>1150</v>
      </c>
    </row>
    <row r="264" spans="1:11" s="3" customFormat="1" ht="14.25" customHeight="1" x14ac:dyDescent="0.25">
      <c r="A264" s="32" t="s">
        <v>250</v>
      </c>
      <c r="B264" s="14" t="s">
        <v>269</v>
      </c>
      <c r="C264" s="14" t="s">
        <v>54</v>
      </c>
      <c r="D264" s="13">
        <v>1750</v>
      </c>
      <c r="E264" s="13"/>
      <c r="F264" s="67">
        <f>D264+E264</f>
        <v>1750</v>
      </c>
      <c r="G264" s="67"/>
      <c r="H264" s="67"/>
      <c r="I264" s="67"/>
      <c r="J264" s="67">
        <f>F264+H264-600</f>
        <v>1150</v>
      </c>
      <c r="K264" s="67">
        <v>1150</v>
      </c>
    </row>
    <row r="265" spans="1:11" s="3" customFormat="1" ht="47.25" hidden="1" x14ac:dyDescent="0.25">
      <c r="A265" s="52" t="s">
        <v>254</v>
      </c>
      <c r="B265" s="49" t="s">
        <v>270</v>
      </c>
      <c r="C265" s="49"/>
      <c r="D265" s="50">
        <f>D266</f>
        <v>1600</v>
      </c>
      <c r="E265" s="50"/>
      <c r="F265" s="66">
        <f t="shared" ref="F265:K265" si="147">F266</f>
        <v>0</v>
      </c>
      <c r="G265" s="66">
        <f t="shared" si="147"/>
        <v>0</v>
      </c>
      <c r="H265" s="66">
        <f t="shared" si="147"/>
        <v>0</v>
      </c>
      <c r="I265" s="66">
        <f t="shared" si="147"/>
        <v>0</v>
      </c>
      <c r="J265" s="66">
        <f t="shared" si="147"/>
        <v>0</v>
      </c>
      <c r="K265" s="66">
        <f t="shared" si="147"/>
        <v>0</v>
      </c>
    </row>
    <row r="266" spans="1:11" s="3" customFormat="1" ht="15.75" hidden="1" x14ac:dyDescent="0.25">
      <c r="A266" s="32" t="s">
        <v>250</v>
      </c>
      <c r="B266" s="14" t="s">
        <v>270</v>
      </c>
      <c r="C266" s="14" t="s">
        <v>54</v>
      </c>
      <c r="D266" s="13">
        <v>1600</v>
      </c>
      <c r="E266" s="13"/>
      <c r="F266" s="67">
        <f>D266+E266-1600</f>
        <v>0</v>
      </c>
      <c r="G266" s="67"/>
      <c r="H266" s="67"/>
      <c r="I266" s="67"/>
      <c r="J266" s="67"/>
      <c r="K266" s="67"/>
    </row>
    <row r="267" spans="1:11" s="3" customFormat="1" ht="47.25" x14ac:dyDescent="0.25">
      <c r="A267" s="52" t="s">
        <v>255</v>
      </c>
      <c r="B267" s="49" t="s">
        <v>271</v>
      </c>
      <c r="C267" s="49"/>
      <c r="D267" s="50">
        <f>D268</f>
        <v>15000</v>
      </c>
      <c r="E267" s="50"/>
      <c r="F267" s="66">
        <f t="shared" ref="F267:K267" si="148">F268</f>
        <v>10000</v>
      </c>
      <c r="G267" s="66">
        <f t="shared" si="148"/>
        <v>0</v>
      </c>
      <c r="H267" s="66">
        <f t="shared" si="148"/>
        <v>0</v>
      </c>
      <c r="I267" s="66">
        <f t="shared" si="148"/>
        <v>0</v>
      </c>
      <c r="J267" s="66">
        <f t="shared" si="148"/>
        <v>30000</v>
      </c>
      <c r="K267" s="66">
        <f t="shared" si="148"/>
        <v>29815.39</v>
      </c>
    </row>
    <row r="268" spans="1:11" s="3" customFormat="1" ht="15.75" x14ac:dyDescent="0.25">
      <c r="A268" s="32" t="s">
        <v>250</v>
      </c>
      <c r="B268" s="14" t="s">
        <v>271</v>
      </c>
      <c r="C268" s="14" t="s">
        <v>54</v>
      </c>
      <c r="D268" s="13">
        <v>15000</v>
      </c>
      <c r="E268" s="13"/>
      <c r="F268" s="67">
        <f>D268+E268-5000</f>
        <v>10000</v>
      </c>
      <c r="G268" s="67"/>
      <c r="H268" s="67"/>
      <c r="I268" s="67"/>
      <c r="J268" s="67">
        <f>F268+H268+20000</f>
        <v>30000</v>
      </c>
      <c r="K268" s="67">
        <v>29815.39</v>
      </c>
    </row>
    <row r="269" spans="1:11" s="3" customFormat="1" ht="54.75" customHeight="1" x14ac:dyDescent="0.25">
      <c r="A269" s="52" t="s">
        <v>256</v>
      </c>
      <c r="B269" s="49" t="s">
        <v>272</v>
      </c>
      <c r="C269" s="49"/>
      <c r="D269" s="50">
        <f>D270</f>
        <v>100</v>
      </c>
      <c r="E269" s="50"/>
      <c r="F269" s="66">
        <f t="shared" ref="F269:K269" si="149">F270</f>
        <v>37.979999999999997</v>
      </c>
      <c r="G269" s="66">
        <f t="shared" si="149"/>
        <v>0</v>
      </c>
      <c r="H269" s="66">
        <f t="shared" si="149"/>
        <v>0</v>
      </c>
      <c r="I269" s="66">
        <f t="shared" si="149"/>
        <v>0</v>
      </c>
      <c r="J269" s="66">
        <f t="shared" si="149"/>
        <v>135.1</v>
      </c>
      <c r="K269" s="66">
        <f t="shared" si="149"/>
        <v>135.1</v>
      </c>
    </row>
    <row r="270" spans="1:11" s="3" customFormat="1" ht="15.75" x14ac:dyDescent="0.25">
      <c r="A270" s="32" t="s">
        <v>250</v>
      </c>
      <c r="B270" s="14" t="s">
        <v>272</v>
      </c>
      <c r="C270" s="14" t="s">
        <v>54</v>
      </c>
      <c r="D270" s="13">
        <v>100</v>
      </c>
      <c r="E270" s="13"/>
      <c r="F270" s="67">
        <f>D270+E270-62.02</f>
        <v>37.979999999999997</v>
      </c>
      <c r="G270" s="67"/>
      <c r="H270" s="67"/>
      <c r="I270" s="67"/>
      <c r="J270" s="67">
        <f>F270+H270+97.12</f>
        <v>135.1</v>
      </c>
      <c r="K270" s="67">
        <v>135.1</v>
      </c>
    </row>
    <row r="271" spans="1:11" s="3" customFormat="1" ht="63" x14ac:dyDescent="0.25">
      <c r="A271" s="52" t="s">
        <v>273</v>
      </c>
      <c r="B271" s="49" t="s">
        <v>275</v>
      </c>
      <c r="C271" s="49"/>
      <c r="D271" s="50">
        <f>D272</f>
        <v>1405.34</v>
      </c>
      <c r="E271" s="50"/>
      <c r="F271" s="66">
        <f t="shared" ref="F271:K271" si="150">F272</f>
        <v>1405.34</v>
      </c>
      <c r="G271" s="66">
        <f t="shared" si="150"/>
        <v>0</v>
      </c>
      <c r="H271" s="66">
        <f t="shared" si="150"/>
        <v>0</v>
      </c>
      <c r="I271" s="66">
        <f t="shared" si="150"/>
        <v>0</v>
      </c>
      <c r="J271" s="66">
        <f t="shared" si="150"/>
        <v>1225.3399999999999</v>
      </c>
      <c r="K271" s="66">
        <f t="shared" si="150"/>
        <v>1353.98</v>
      </c>
    </row>
    <row r="272" spans="1:11" s="3" customFormat="1" ht="15.75" x14ac:dyDescent="0.25">
      <c r="A272" s="32" t="s">
        <v>250</v>
      </c>
      <c r="B272" s="14" t="s">
        <v>275</v>
      </c>
      <c r="C272" s="14" t="s">
        <v>54</v>
      </c>
      <c r="D272" s="13">
        <v>1405.34</v>
      </c>
      <c r="E272" s="13"/>
      <c r="F272" s="67">
        <f>D272+E272</f>
        <v>1405.34</v>
      </c>
      <c r="G272" s="67"/>
      <c r="H272" s="67"/>
      <c r="I272" s="67"/>
      <c r="J272" s="67">
        <f>F272+H272-180</f>
        <v>1225.3399999999999</v>
      </c>
      <c r="K272" s="67">
        <v>1353.98</v>
      </c>
    </row>
    <row r="273" spans="1:11" s="3" customFormat="1" ht="31.5" x14ac:dyDescent="0.25">
      <c r="A273" s="52" t="s">
        <v>257</v>
      </c>
      <c r="B273" s="49" t="s">
        <v>276</v>
      </c>
      <c r="C273" s="49"/>
      <c r="D273" s="50">
        <f>D274</f>
        <v>774.29</v>
      </c>
      <c r="E273" s="50"/>
      <c r="F273" s="66">
        <f t="shared" ref="F273:K273" si="151">F274</f>
        <v>774.29</v>
      </c>
      <c r="G273" s="66">
        <f t="shared" si="151"/>
        <v>0</v>
      </c>
      <c r="H273" s="66">
        <f t="shared" si="151"/>
        <v>0</v>
      </c>
      <c r="I273" s="66">
        <f t="shared" si="151"/>
        <v>0</v>
      </c>
      <c r="J273" s="66">
        <f t="shared" si="151"/>
        <v>980.28</v>
      </c>
      <c r="K273" s="66">
        <f t="shared" si="151"/>
        <v>980.28</v>
      </c>
    </row>
    <row r="274" spans="1:11" s="3" customFormat="1" ht="15.75" x14ac:dyDescent="0.25">
      <c r="A274" s="32" t="s">
        <v>250</v>
      </c>
      <c r="B274" s="14" t="s">
        <v>276</v>
      </c>
      <c r="C274" s="14" t="s">
        <v>54</v>
      </c>
      <c r="D274" s="13">
        <v>774.29</v>
      </c>
      <c r="E274" s="13"/>
      <c r="F274" s="67">
        <f>D274+E274</f>
        <v>774.29</v>
      </c>
      <c r="G274" s="67"/>
      <c r="H274" s="67"/>
      <c r="I274" s="67"/>
      <c r="J274" s="67">
        <f>F274+H274+205.99</f>
        <v>980.28</v>
      </c>
      <c r="K274" s="67">
        <v>980.28</v>
      </c>
    </row>
    <row r="275" spans="1:11" s="3" customFormat="1" ht="31.5" x14ac:dyDescent="0.25">
      <c r="A275" s="52" t="s">
        <v>322</v>
      </c>
      <c r="B275" s="49" t="s">
        <v>323</v>
      </c>
      <c r="C275" s="49"/>
      <c r="D275" s="50">
        <f>D276</f>
        <v>7505</v>
      </c>
      <c r="E275" s="50"/>
      <c r="F275" s="66">
        <f t="shared" ref="F275:K275" si="152">F276</f>
        <v>0</v>
      </c>
      <c r="G275" s="66">
        <f t="shared" si="152"/>
        <v>0</v>
      </c>
      <c r="H275" s="66">
        <f t="shared" si="152"/>
        <v>40</v>
      </c>
      <c r="I275" s="66">
        <f t="shared" si="152"/>
        <v>0</v>
      </c>
      <c r="J275" s="66">
        <f t="shared" si="152"/>
        <v>40</v>
      </c>
      <c r="K275" s="66">
        <f t="shared" si="152"/>
        <v>40</v>
      </c>
    </row>
    <row r="276" spans="1:11" s="3" customFormat="1" ht="15.75" x14ac:dyDescent="0.25">
      <c r="A276" s="32" t="s">
        <v>250</v>
      </c>
      <c r="B276" s="14" t="s">
        <v>323</v>
      </c>
      <c r="C276" s="14" t="s">
        <v>54</v>
      </c>
      <c r="D276" s="13">
        <v>7505</v>
      </c>
      <c r="E276" s="13"/>
      <c r="F276" s="67"/>
      <c r="G276" s="67"/>
      <c r="H276" s="67">
        <v>40</v>
      </c>
      <c r="I276" s="67"/>
      <c r="J276" s="67">
        <f>H276</f>
        <v>40</v>
      </c>
      <c r="K276" s="67">
        <v>40</v>
      </c>
    </row>
    <row r="277" spans="1:11" s="3" customFormat="1" ht="47.25" x14ac:dyDescent="0.25">
      <c r="A277" s="52" t="s">
        <v>258</v>
      </c>
      <c r="B277" s="49" t="s">
        <v>277</v>
      </c>
      <c r="C277" s="49"/>
      <c r="D277" s="50">
        <f>D278</f>
        <v>7505</v>
      </c>
      <c r="E277" s="50"/>
      <c r="F277" s="66">
        <f t="shared" ref="F277:K277" si="153">F278</f>
        <v>7505</v>
      </c>
      <c r="G277" s="66">
        <f t="shared" si="153"/>
        <v>0</v>
      </c>
      <c r="H277" s="66">
        <f t="shared" si="153"/>
        <v>0</v>
      </c>
      <c r="I277" s="66">
        <f t="shared" si="153"/>
        <v>0</v>
      </c>
      <c r="J277" s="66">
        <f t="shared" si="153"/>
        <v>0</v>
      </c>
      <c r="K277" s="66">
        <f t="shared" si="153"/>
        <v>731.2</v>
      </c>
    </row>
    <row r="278" spans="1:11" s="3" customFormat="1" ht="15.75" x14ac:dyDescent="0.25">
      <c r="A278" s="32" t="s">
        <v>250</v>
      </c>
      <c r="B278" s="14" t="s">
        <v>277</v>
      </c>
      <c r="C278" s="14" t="s">
        <v>54</v>
      </c>
      <c r="D278" s="13">
        <v>7505</v>
      </c>
      <c r="E278" s="13"/>
      <c r="F278" s="67">
        <f>D278+E278</f>
        <v>7505</v>
      </c>
      <c r="G278" s="67"/>
      <c r="H278" s="67"/>
      <c r="I278" s="67"/>
      <c r="J278" s="67">
        <f>F278+H278-7505</f>
        <v>0</v>
      </c>
      <c r="K278" s="67">
        <v>731.2</v>
      </c>
    </row>
    <row r="279" spans="1:11" s="3" customFormat="1" ht="31.5" x14ac:dyDescent="0.25">
      <c r="A279" s="52" t="s">
        <v>259</v>
      </c>
      <c r="B279" s="49" t="s">
        <v>278</v>
      </c>
      <c r="C279" s="49"/>
      <c r="D279" s="50">
        <f>D280</f>
        <v>6150</v>
      </c>
      <c r="E279" s="50"/>
      <c r="F279" s="66">
        <f t="shared" ref="F279:K279" si="154">F280</f>
        <v>5250</v>
      </c>
      <c r="G279" s="66">
        <f t="shared" si="154"/>
        <v>0</v>
      </c>
      <c r="H279" s="66">
        <f t="shared" si="154"/>
        <v>0</v>
      </c>
      <c r="I279" s="66">
        <f t="shared" si="154"/>
        <v>0</v>
      </c>
      <c r="J279" s="66">
        <f t="shared" si="154"/>
        <v>10710</v>
      </c>
      <c r="K279" s="66">
        <f t="shared" si="154"/>
        <v>10710</v>
      </c>
    </row>
    <row r="280" spans="1:11" s="3" customFormat="1" ht="15.75" x14ac:dyDescent="0.25">
      <c r="A280" s="32" t="s">
        <v>250</v>
      </c>
      <c r="B280" s="14" t="s">
        <v>278</v>
      </c>
      <c r="C280" s="14" t="s">
        <v>54</v>
      </c>
      <c r="D280" s="13">
        <v>6150</v>
      </c>
      <c r="E280" s="13"/>
      <c r="F280" s="67">
        <f>D280+E280-900</f>
        <v>5250</v>
      </c>
      <c r="G280" s="67"/>
      <c r="H280" s="67"/>
      <c r="I280" s="67"/>
      <c r="J280" s="67">
        <f>F280+H280+5460</f>
        <v>10710</v>
      </c>
      <c r="K280" s="67">
        <v>10710</v>
      </c>
    </row>
    <row r="281" spans="1:11" s="3" customFormat="1" ht="63" x14ac:dyDescent="0.25">
      <c r="A281" s="52" t="s">
        <v>260</v>
      </c>
      <c r="B281" s="49" t="s">
        <v>279</v>
      </c>
      <c r="C281" s="49"/>
      <c r="D281" s="50">
        <f>D282</f>
        <v>20</v>
      </c>
      <c r="E281" s="50"/>
      <c r="F281" s="66">
        <f t="shared" ref="F281:K281" si="155">F282</f>
        <v>20</v>
      </c>
      <c r="G281" s="66">
        <f t="shared" si="155"/>
        <v>0</v>
      </c>
      <c r="H281" s="66">
        <f t="shared" si="155"/>
        <v>0</v>
      </c>
      <c r="I281" s="66">
        <f t="shared" si="155"/>
        <v>0</v>
      </c>
      <c r="J281" s="66">
        <f t="shared" si="155"/>
        <v>20</v>
      </c>
      <c r="K281" s="66">
        <f t="shared" si="155"/>
        <v>20</v>
      </c>
    </row>
    <row r="282" spans="1:11" s="3" customFormat="1" ht="15.75" x14ac:dyDescent="0.25">
      <c r="A282" s="32" t="s">
        <v>250</v>
      </c>
      <c r="B282" s="14" t="s">
        <v>279</v>
      </c>
      <c r="C282" s="14" t="s">
        <v>54</v>
      </c>
      <c r="D282" s="13">
        <v>20</v>
      </c>
      <c r="E282" s="13"/>
      <c r="F282" s="67">
        <f>D282+E282</f>
        <v>20</v>
      </c>
      <c r="G282" s="67"/>
      <c r="H282" s="67"/>
      <c r="I282" s="67"/>
      <c r="J282" s="67">
        <f>F282+H282</f>
        <v>20</v>
      </c>
      <c r="K282" s="67">
        <v>20</v>
      </c>
    </row>
    <row r="283" spans="1:11" s="3" customFormat="1" ht="15.75" x14ac:dyDescent="0.25">
      <c r="A283" s="52" t="s">
        <v>261</v>
      </c>
      <c r="B283" s="49" t="s">
        <v>280</v>
      </c>
      <c r="C283" s="49"/>
      <c r="D283" s="50">
        <f>D284</f>
        <v>1821.5</v>
      </c>
      <c r="E283" s="50"/>
      <c r="F283" s="66">
        <f t="shared" ref="F283:K283" si="156">F284</f>
        <v>2644.77</v>
      </c>
      <c r="G283" s="66">
        <f t="shared" si="156"/>
        <v>0</v>
      </c>
      <c r="H283" s="66">
        <f t="shared" si="156"/>
        <v>-2644.77</v>
      </c>
      <c r="I283" s="66">
        <f t="shared" si="156"/>
        <v>0</v>
      </c>
      <c r="J283" s="66">
        <f t="shared" si="156"/>
        <v>0</v>
      </c>
      <c r="K283" s="66">
        <f t="shared" si="156"/>
        <v>0</v>
      </c>
    </row>
    <row r="284" spans="1:11" s="3" customFormat="1" ht="15.75" x14ac:dyDescent="0.25">
      <c r="A284" s="32" t="s">
        <v>250</v>
      </c>
      <c r="B284" s="14" t="s">
        <v>280</v>
      </c>
      <c r="C284" s="14" t="s">
        <v>54</v>
      </c>
      <c r="D284" s="13">
        <v>1821.5</v>
      </c>
      <c r="E284" s="13"/>
      <c r="F284" s="67">
        <f>D284+E284+823.27</f>
        <v>2644.77</v>
      </c>
      <c r="G284" s="67"/>
      <c r="H284" s="67">
        <v>-2644.77</v>
      </c>
      <c r="I284" s="67"/>
      <c r="J284" s="67">
        <f>F284+H284</f>
        <v>0</v>
      </c>
      <c r="K284" s="67"/>
    </row>
    <row r="285" spans="1:11" s="3" customFormat="1" ht="47.25" x14ac:dyDescent="0.25">
      <c r="A285" s="52" t="s">
        <v>262</v>
      </c>
      <c r="B285" s="49" t="s">
        <v>281</v>
      </c>
      <c r="C285" s="49"/>
      <c r="D285" s="50">
        <f>D286</f>
        <v>20000</v>
      </c>
      <c r="E285" s="50"/>
      <c r="F285" s="66">
        <f t="shared" ref="F285:K285" si="157">F286</f>
        <v>20000</v>
      </c>
      <c r="G285" s="66">
        <f t="shared" si="157"/>
        <v>0</v>
      </c>
      <c r="H285" s="66">
        <f t="shared" si="157"/>
        <v>-5752.82</v>
      </c>
      <c r="I285" s="66">
        <f t="shared" si="157"/>
        <v>0</v>
      </c>
      <c r="J285" s="66">
        <f t="shared" si="157"/>
        <v>14247.18</v>
      </c>
      <c r="K285" s="66">
        <f t="shared" si="157"/>
        <v>14247.18</v>
      </c>
    </row>
    <row r="286" spans="1:11" s="3" customFormat="1" ht="15.75" x14ac:dyDescent="0.25">
      <c r="A286" s="32" t="s">
        <v>250</v>
      </c>
      <c r="B286" s="14" t="s">
        <v>281</v>
      </c>
      <c r="C286" s="14" t="s">
        <v>54</v>
      </c>
      <c r="D286" s="13">
        <v>20000</v>
      </c>
      <c r="E286" s="13"/>
      <c r="F286" s="67">
        <v>20000</v>
      </c>
      <c r="G286" s="67"/>
      <c r="H286" s="67">
        <v>-5752.82</v>
      </c>
      <c r="I286" s="67"/>
      <c r="J286" s="67">
        <f>F286+H286</f>
        <v>14247.18</v>
      </c>
      <c r="K286" s="67">
        <v>14247.18</v>
      </c>
    </row>
    <row r="287" spans="1:11" s="3" customFormat="1" ht="47.25" x14ac:dyDescent="0.25">
      <c r="A287" s="52" t="s">
        <v>263</v>
      </c>
      <c r="B287" s="49" t="s">
        <v>282</v>
      </c>
      <c r="C287" s="49"/>
      <c r="D287" s="50">
        <f>D288</f>
        <v>23209.46</v>
      </c>
      <c r="E287" s="50"/>
      <c r="F287" s="66">
        <f t="shared" ref="F287:K287" si="158">F288</f>
        <v>193185.94</v>
      </c>
      <c r="G287" s="66">
        <f t="shared" si="158"/>
        <v>0</v>
      </c>
      <c r="H287" s="66">
        <f t="shared" si="158"/>
        <v>5357.57</v>
      </c>
      <c r="I287" s="66">
        <f t="shared" si="158"/>
        <v>0</v>
      </c>
      <c r="J287" s="66">
        <f t="shared" si="158"/>
        <v>44565.290000000008</v>
      </c>
      <c r="K287" s="66">
        <f t="shared" si="158"/>
        <v>44565.29</v>
      </c>
    </row>
    <row r="288" spans="1:11" s="3" customFormat="1" ht="15.75" x14ac:dyDescent="0.25">
      <c r="A288" s="32" t="s">
        <v>250</v>
      </c>
      <c r="B288" s="14" t="s">
        <v>282</v>
      </c>
      <c r="C288" s="14" t="s">
        <v>54</v>
      </c>
      <c r="D288" s="13">
        <v>23209.46</v>
      </c>
      <c r="E288" s="13"/>
      <c r="F288" s="67">
        <f>D288+E288+169976.48</f>
        <v>193185.94</v>
      </c>
      <c r="G288" s="67"/>
      <c r="H288" s="67">
        <v>5357.57</v>
      </c>
      <c r="I288" s="67"/>
      <c r="J288" s="67">
        <f>F288+H288-153978.22</f>
        <v>44565.290000000008</v>
      </c>
      <c r="K288" s="67">
        <v>44565.29</v>
      </c>
    </row>
    <row r="289" spans="1:11" s="3" customFormat="1" ht="47.25" x14ac:dyDescent="0.25">
      <c r="A289" s="52" t="s">
        <v>354</v>
      </c>
      <c r="B289" s="49" t="s">
        <v>355</v>
      </c>
      <c r="C289" s="49"/>
      <c r="D289" s="50"/>
      <c r="E289" s="50"/>
      <c r="F289" s="66"/>
      <c r="G289" s="66"/>
      <c r="H289" s="66"/>
      <c r="I289" s="66"/>
      <c r="J289" s="66">
        <f>J290</f>
        <v>397.5</v>
      </c>
      <c r="K289" s="66">
        <f>K290</f>
        <v>397.5</v>
      </c>
    </row>
    <row r="290" spans="1:11" s="3" customFormat="1" ht="15.75" x14ac:dyDescent="0.25">
      <c r="A290" s="32" t="s">
        <v>250</v>
      </c>
      <c r="B290" s="14" t="s">
        <v>355</v>
      </c>
      <c r="C290" s="14" t="s">
        <v>54</v>
      </c>
      <c r="D290" s="13"/>
      <c r="E290" s="13"/>
      <c r="F290" s="67"/>
      <c r="G290" s="67"/>
      <c r="H290" s="67"/>
      <c r="I290" s="67"/>
      <c r="J290" s="67">
        <v>397.5</v>
      </c>
      <c r="K290" s="67">
        <v>397.5</v>
      </c>
    </row>
    <row r="291" spans="1:11" s="3" customFormat="1" ht="47.25" x14ac:dyDescent="0.25">
      <c r="A291" s="52" t="s">
        <v>356</v>
      </c>
      <c r="B291" s="49" t="s">
        <v>357</v>
      </c>
      <c r="C291" s="49"/>
      <c r="D291" s="50"/>
      <c r="E291" s="50"/>
      <c r="F291" s="66"/>
      <c r="G291" s="66"/>
      <c r="H291" s="66"/>
      <c r="I291" s="66"/>
      <c r="J291" s="66">
        <f>J292</f>
        <v>5772.16</v>
      </c>
      <c r="K291" s="66">
        <f>K292</f>
        <v>4096.93</v>
      </c>
    </row>
    <row r="292" spans="1:11" s="3" customFormat="1" ht="15.75" x14ac:dyDescent="0.25">
      <c r="A292" s="32" t="s">
        <v>250</v>
      </c>
      <c r="B292" s="14" t="s">
        <v>357</v>
      </c>
      <c r="C292" s="14" t="s">
        <v>54</v>
      </c>
      <c r="D292" s="13"/>
      <c r="E292" s="13"/>
      <c r="F292" s="67"/>
      <c r="G292" s="67"/>
      <c r="H292" s="67"/>
      <c r="I292" s="67"/>
      <c r="J292" s="67">
        <v>5772.16</v>
      </c>
      <c r="K292" s="67">
        <v>4096.93</v>
      </c>
    </row>
    <row r="293" spans="1:11" s="3" customFormat="1" ht="31.5" x14ac:dyDescent="0.25">
      <c r="A293" s="52" t="s">
        <v>358</v>
      </c>
      <c r="B293" s="49" t="s">
        <v>359</v>
      </c>
      <c r="C293" s="49"/>
      <c r="D293" s="50"/>
      <c r="E293" s="50"/>
      <c r="F293" s="66"/>
      <c r="G293" s="66"/>
      <c r="H293" s="66"/>
      <c r="I293" s="66"/>
      <c r="J293" s="66">
        <f>J294</f>
        <v>850</v>
      </c>
      <c r="K293" s="66">
        <f>K294</f>
        <v>7702.81</v>
      </c>
    </row>
    <row r="294" spans="1:11" s="3" customFormat="1" ht="15.75" x14ac:dyDescent="0.25">
      <c r="A294" s="32" t="s">
        <v>250</v>
      </c>
      <c r="B294" s="14" t="s">
        <v>359</v>
      </c>
      <c r="C294" s="14" t="s">
        <v>54</v>
      </c>
      <c r="D294" s="13"/>
      <c r="E294" s="13"/>
      <c r="F294" s="67"/>
      <c r="G294" s="67"/>
      <c r="H294" s="67"/>
      <c r="I294" s="67"/>
      <c r="J294" s="67">
        <v>850</v>
      </c>
      <c r="K294" s="67">
        <v>7702.81</v>
      </c>
    </row>
    <row r="295" spans="1:11" s="3" customFormat="1" ht="63" x14ac:dyDescent="0.25">
      <c r="A295" s="52" t="s">
        <v>360</v>
      </c>
      <c r="B295" s="49" t="s">
        <v>361</v>
      </c>
      <c r="C295" s="49"/>
      <c r="D295" s="50"/>
      <c r="E295" s="50"/>
      <c r="F295" s="66"/>
      <c r="G295" s="66"/>
      <c r="H295" s="66"/>
      <c r="I295" s="66"/>
      <c r="J295" s="66">
        <f>J296</f>
        <v>51360.81</v>
      </c>
      <c r="K295" s="66">
        <f>K296</f>
        <v>45508</v>
      </c>
    </row>
    <row r="296" spans="1:11" s="3" customFormat="1" ht="15.75" x14ac:dyDescent="0.25">
      <c r="A296" s="32" t="s">
        <v>250</v>
      </c>
      <c r="B296" s="14" t="s">
        <v>361</v>
      </c>
      <c r="C296" s="14" t="s">
        <v>54</v>
      </c>
      <c r="D296" s="13"/>
      <c r="E296" s="13"/>
      <c r="F296" s="67"/>
      <c r="G296" s="67"/>
      <c r="H296" s="67"/>
      <c r="I296" s="67"/>
      <c r="J296" s="67">
        <v>51360.81</v>
      </c>
      <c r="K296" s="67">
        <v>45508</v>
      </c>
    </row>
    <row r="297" spans="1:11" s="3" customFormat="1" ht="47.25" x14ac:dyDescent="0.25">
      <c r="A297" s="52" t="s">
        <v>264</v>
      </c>
      <c r="B297" s="49" t="s">
        <v>283</v>
      </c>
      <c r="C297" s="49"/>
      <c r="D297" s="50"/>
      <c r="E297" s="50">
        <f t="shared" ref="E297:K297" si="159">E298</f>
        <v>100</v>
      </c>
      <c r="F297" s="66">
        <f t="shared" si="159"/>
        <v>100</v>
      </c>
      <c r="G297" s="66">
        <f t="shared" si="159"/>
        <v>0</v>
      </c>
      <c r="H297" s="66">
        <f t="shared" si="159"/>
        <v>0</v>
      </c>
      <c r="I297" s="66">
        <f t="shared" si="159"/>
        <v>0</v>
      </c>
      <c r="J297" s="66">
        <f t="shared" si="159"/>
        <v>100</v>
      </c>
      <c r="K297" s="66">
        <f t="shared" si="159"/>
        <v>100</v>
      </c>
    </row>
    <row r="298" spans="1:11" s="3" customFormat="1" ht="31.5" x14ac:dyDescent="0.25">
      <c r="A298" s="32" t="s">
        <v>35</v>
      </c>
      <c r="B298" s="14" t="s">
        <v>283</v>
      </c>
      <c r="C298" s="14" t="s">
        <v>54</v>
      </c>
      <c r="D298" s="13"/>
      <c r="E298" s="13">
        <v>100</v>
      </c>
      <c r="F298" s="67">
        <f>D298+E298</f>
        <v>100</v>
      </c>
      <c r="G298" s="67"/>
      <c r="H298" s="67"/>
      <c r="I298" s="67"/>
      <c r="J298" s="67">
        <f>F298+I298</f>
        <v>100</v>
      </c>
      <c r="K298" s="67">
        <v>100</v>
      </c>
    </row>
    <row r="299" spans="1:11" s="3" customFormat="1" ht="31.5" x14ac:dyDescent="0.25">
      <c r="A299" s="52" t="s">
        <v>210</v>
      </c>
      <c r="B299" s="49" t="s">
        <v>211</v>
      </c>
      <c r="C299" s="49"/>
      <c r="D299" s="50">
        <f t="shared" ref="D299:K299" si="160">D300</f>
        <v>200</v>
      </c>
      <c r="E299" s="50">
        <f t="shared" si="160"/>
        <v>160</v>
      </c>
      <c r="F299" s="66">
        <f t="shared" si="160"/>
        <v>360</v>
      </c>
      <c r="G299" s="66">
        <f t="shared" si="160"/>
        <v>0</v>
      </c>
      <c r="H299" s="66">
        <f t="shared" si="160"/>
        <v>0</v>
      </c>
      <c r="I299" s="66">
        <f t="shared" si="160"/>
        <v>-50</v>
      </c>
      <c r="J299" s="66">
        <f t="shared" si="160"/>
        <v>310</v>
      </c>
      <c r="K299" s="66">
        <f t="shared" si="160"/>
        <v>360</v>
      </c>
    </row>
    <row r="300" spans="1:11" s="3" customFormat="1" ht="31.5" x14ac:dyDescent="0.25">
      <c r="A300" s="32" t="s">
        <v>35</v>
      </c>
      <c r="B300" s="14" t="s">
        <v>211</v>
      </c>
      <c r="C300" s="14" t="s">
        <v>36</v>
      </c>
      <c r="D300" s="13">
        <v>200</v>
      </c>
      <c r="E300" s="13">
        <v>160</v>
      </c>
      <c r="F300" s="67">
        <f>D300+E300</f>
        <v>360</v>
      </c>
      <c r="G300" s="67"/>
      <c r="H300" s="67"/>
      <c r="I300" s="67">
        <v>-50</v>
      </c>
      <c r="J300" s="67">
        <f>F300+I300</f>
        <v>310</v>
      </c>
      <c r="K300" s="67">
        <v>360</v>
      </c>
    </row>
    <row r="301" spans="1:11" ht="31.5" x14ac:dyDescent="0.25">
      <c r="A301" s="35" t="s">
        <v>96</v>
      </c>
      <c r="B301" s="29" t="s">
        <v>98</v>
      </c>
      <c r="C301" s="29"/>
      <c r="D301" s="30">
        <f t="shared" ref="D301:K301" si="161">D302</f>
        <v>1694.71</v>
      </c>
      <c r="E301" s="30">
        <f t="shared" si="161"/>
        <v>0</v>
      </c>
      <c r="F301" s="65">
        <f t="shared" si="161"/>
        <v>1564.56</v>
      </c>
      <c r="G301" s="65">
        <f t="shared" si="161"/>
        <v>0</v>
      </c>
      <c r="H301" s="65">
        <f t="shared" si="161"/>
        <v>0</v>
      </c>
      <c r="I301" s="65">
        <f t="shared" si="161"/>
        <v>0</v>
      </c>
      <c r="J301" s="65">
        <f t="shared" si="161"/>
        <v>1527.6299999999999</v>
      </c>
      <c r="K301" s="65">
        <f t="shared" si="161"/>
        <v>1431.1299999999999</v>
      </c>
    </row>
    <row r="302" spans="1:11" ht="31.5" x14ac:dyDescent="0.25">
      <c r="A302" s="21" t="s">
        <v>97</v>
      </c>
      <c r="B302" s="33" t="s">
        <v>98</v>
      </c>
      <c r="C302" s="33"/>
      <c r="D302" s="34">
        <f t="shared" ref="D302:J302" si="162">D305+D303</f>
        <v>1694.71</v>
      </c>
      <c r="E302" s="34">
        <f t="shared" si="162"/>
        <v>0</v>
      </c>
      <c r="F302" s="68">
        <f t="shared" si="162"/>
        <v>1564.56</v>
      </c>
      <c r="G302" s="68">
        <f t="shared" si="162"/>
        <v>0</v>
      </c>
      <c r="H302" s="68">
        <f t="shared" si="162"/>
        <v>0</v>
      </c>
      <c r="I302" s="68">
        <f t="shared" si="162"/>
        <v>0</v>
      </c>
      <c r="J302" s="68">
        <f t="shared" si="162"/>
        <v>1527.6299999999999</v>
      </c>
      <c r="K302" s="68">
        <f t="shared" ref="K302" si="163">K305+K303</f>
        <v>1431.1299999999999</v>
      </c>
    </row>
    <row r="303" spans="1:11" ht="94.5" x14ac:dyDescent="0.25">
      <c r="A303" s="45" t="s">
        <v>232</v>
      </c>
      <c r="B303" s="49" t="s">
        <v>333</v>
      </c>
      <c r="C303" s="49"/>
      <c r="D303" s="50">
        <f t="shared" ref="D303:K303" si="164">D304</f>
        <v>1526.65</v>
      </c>
      <c r="E303" s="50">
        <f t="shared" si="164"/>
        <v>0</v>
      </c>
      <c r="F303" s="66">
        <f t="shared" si="164"/>
        <v>1396.5</v>
      </c>
      <c r="G303" s="66">
        <f t="shared" si="164"/>
        <v>0</v>
      </c>
      <c r="H303" s="66">
        <f t="shared" si="164"/>
        <v>0</v>
      </c>
      <c r="I303" s="66">
        <f t="shared" si="164"/>
        <v>0</v>
      </c>
      <c r="J303" s="66">
        <f t="shared" si="164"/>
        <v>1359.57</v>
      </c>
      <c r="K303" s="66">
        <f t="shared" si="164"/>
        <v>1359.57</v>
      </c>
    </row>
    <row r="304" spans="1:11" ht="31.5" x14ac:dyDescent="0.25">
      <c r="A304" s="12" t="s">
        <v>74</v>
      </c>
      <c r="B304" s="14" t="s">
        <v>333</v>
      </c>
      <c r="C304" s="14" t="s">
        <v>76</v>
      </c>
      <c r="D304" s="13">
        <v>1526.65</v>
      </c>
      <c r="E304" s="13"/>
      <c r="F304" s="67">
        <f>D304+E304-130.15</f>
        <v>1396.5</v>
      </c>
      <c r="G304" s="67"/>
      <c r="H304" s="67"/>
      <c r="I304" s="67"/>
      <c r="J304" s="67">
        <f>F304+H304-36.93</f>
        <v>1359.57</v>
      </c>
      <c r="K304" s="67">
        <v>1359.57</v>
      </c>
    </row>
    <row r="305" spans="1:11" ht="31.7" customHeight="1" x14ac:dyDescent="0.25">
      <c r="A305" s="44" t="s">
        <v>332</v>
      </c>
      <c r="B305" s="49" t="s">
        <v>333</v>
      </c>
      <c r="C305" s="49"/>
      <c r="D305" s="50">
        <f t="shared" ref="D305:K305" si="165">D306</f>
        <v>168.06</v>
      </c>
      <c r="E305" s="50">
        <f t="shared" si="165"/>
        <v>0</v>
      </c>
      <c r="F305" s="66">
        <f t="shared" si="165"/>
        <v>168.06</v>
      </c>
      <c r="G305" s="66">
        <f t="shared" si="165"/>
        <v>0</v>
      </c>
      <c r="H305" s="66">
        <f t="shared" si="165"/>
        <v>0</v>
      </c>
      <c r="I305" s="66">
        <f t="shared" si="165"/>
        <v>0</v>
      </c>
      <c r="J305" s="66">
        <f t="shared" si="165"/>
        <v>168.06</v>
      </c>
      <c r="K305" s="66">
        <f t="shared" si="165"/>
        <v>71.56</v>
      </c>
    </row>
    <row r="306" spans="1:11" s="3" customFormat="1" ht="15.75" x14ac:dyDescent="0.25">
      <c r="A306" s="12" t="s">
        <v>55</v>
      </c>
      <c r="B306" s="14" t="s">
        <v>333</v>
      </c>
      <c r="C306" s="14" t="s">
        <v>54</v>
      </c>
      <c r="D306" s="13">
        <v>168.06</v>
      </c>
      <c r="E306" s="13"/>
      <c r="F306" s="67">
        <f>D306+E304</f>
        <v>168.06</v>
      </c>
      <c r="G306" s="67"/>
      <c r="H306" s="67"/>
      <c r="I306" s="67"/>
      <c r="J306" s="67">
        <f>F306+I306</f>
        <v>168.06</v>
      </c>
      <c r="K306" s="67">
        <v>71.56</v>
      </c>
    </row>
    <row r="307" spans="1:11" ht="31.5" x14ac:dyDescent="0.25">
      <c r="A307" s="5" t="s">
        <v>336</v>
      </c>
      <c r="B307" s="7" t="s">
        <v>90</v>
      </c>
      <c r="C307" s="7"/>
      <c r="D307" s="6">
        <f t="shared" ref="D307:J307" si="166">D314+D319+D323+D308+D311</f>
        <v>14634.800000000001</v>
      </c>
      <c r="E307" s="6">
        <f t="shared" si="166"/>
        <v>0</v>
      </c>
      <c r="F307" s="15">
        <f t="shared" si="166"/>
        <v>14634.800000000001</v>
      </c>
      <c r="G307" s="15">
        <f t="shared" si="166"/>
        <v>0</v>
      </c>
      <c r="H307" s="15">
        <f t="shared" si="166"/>
        <v>0</v>
      </c>
      <c r="I307" s="15">
        <f t="shared" si="166"/>
        <v>505.8</v>
      </c>
      <c r="J307" s="15">
        <f t="shared" si="166"/>
        <v>15390.6</v>
      </c>
      <c r="K307" s="15">
        <f t="shared" ref="K307" si="167">K314+K319+K323+K308+K311</f>
        <v>15390.6</v>
      </c>
    </row>
    <row r="308" spans="1:11" ht="47.25" x14ac:dyDescent="0.25">
      <c r="A308" s="21" t="s">
        <v>202</v>
      </c>
      <c r="B308" s="22" t="s">
        <v>222</v>
      </c>
      <c r="C308" s="22"/>
      <c r="D308" s="23">
        <f t="shared" ref="D308:K309" si="168">D309</f>
        <v>1674.5</v>
      </c>
      <c r="E308" s="23">
        <f t="shared" si="168"/>
        <v>0</v>
      </c>
      <c r="F308" s="28">
        <f t="shared" si="168"/>
        <v>1674.5</v>
      </c>
      <c r="G308" s="28">
        <f t="shared" si="168"/>
        <v>0</v>
      </c>
      <c r="H308" s="28">
        <f t="shared" si="168"/>
        <v>0</v>
      </c>
      <c r="I308" s="28">
        <f t="shared" si="168"/>
        <v>0</v>
      </c>
      <c r="J308" s="28">
        <f t="shared" si="168"/>
        <v>1674.5</v>
      </c>
      <c r="K308" s="28">
        <f t="shared" si="168"/>
        <v>1640</v>
      </c>
    </row>
    <row r="309" spans="1:11" ht="15.75" x14ac:dyDescent="0.25">
      <c r="A309" s="10" t="s">
        <v>13</v>
      </c>
      <c r="B309" s="11" t="s">
        <v>222</v>
      </c>
      <c r="C309" s="11"/>
      <c r="D309" s="4">
        <f t="shared" si="168"/>
        <v>1674.5</v>
      </c>
      <c r="E309" s="4"/>
      <c r="F309" s="16">
        <f>F310</f>
        <v>1674.5</v>
      </c>
      <c r="G309" s="16">
        <f t="shared" si="168"/>
        <v>0</v>
      </c>
      <c r="H309" s="16">
        <f t="shared" si="168"/>
        <v>0</v>
      </c>
      <c r="I309" s="16">
        <f t="shared" si="168"/>
        <v>0</v>
      </c>
      <c r="J309" s="16">
        <f t="shared" si="168"/>
        <v>1674.5</v>
      </c>
      <c r="K309" s="16">
        <f t="shared" si="168"/>
        <v>1640</v>
      </c>
    </row>
    <row r="310" spans="1:11" ht="78.75" x14ac:dyDescent="0.25">
      <c r="A310" s="10" t="s">
        <v>33</v>
      </c>
      <c r="B310" s="11" t="s">
        <v>222</v>
      </c>
      <c r="C310" s="11" t="s">
        <v>34</v>
      </c>
      <c r="D310" s="4">
        <v>1674.5</v>
      </c>
      <c r="E310" s="4"/>
      <c r="F310" s="16">
        <f>D310+E310</f>
        <v>1674.5</v>
      </c>
      <c r="G310" s="16"/>
      <c r="H310" s="16"/>
      <c r="I310" s="16"/>
      <c r="J310" s="16">
        <f>F310+I310</f>
        <v>1674.5</v>
      </c>
      <c r="K310" s="16">
        <v>1640</v>
      </c>
    </row>
    <row r="311" spans="1:11" ht="51" customHeight="1" x14ac:dyDescent="0.25">
      <c r="A311" s="44" t="s">
        <v>20</v>
      </c>
      <c r="B311" s="37" t="s">
        <v>91</v>
      </c>
      <c r="C311" s="37"/>
      <c r="D311" s="36">
        <f t="shared" ref="D311:J311" si="169">D312+D313</f>
        <v>811.9</v>
      </c>
      <c r="E311" s="36">
        <f t="shared" si="169"/>
        <v>0</v>
      </c>
      <c r="F311" s="46">
        <f t="shared" si="169"/>
        <v>811.9</v>
      </c>
      <c r="G311" s="46">
        <f t="shared" si="169"/>
        <v>0</v>
      </c>
      <c r="H311" s="46">
        <f t="shared" si="169"/>
        <v>0</v>
      </c>
      <c r="I311" s="46">
        <f t="shared" si="169"/>
        <v>0</v>
      </c>
      <c r="J311" s="46">
        <f t="shared" si="169"/>
        <v>811.9</v>
      </c>
      <c r="K311" s="46">
        <f>K312+K313</f>
        <v>811.9</v>
      </c>
    </row>
    <row r="312" spans="1:11" ht="82.5" customHeight="1" x14ac:dyDescent="0.25">
      <c r="A312" s="10" t="s">
        <v>33</v>
      </c>
      <c r="B312" s="11" t="s">
        <v>91</v>
      </c>
      <c r="C312" s="11" t="s">
        <v>34</v>
      </c>
      <c r="D312" s="4">
        <v>790</v>
      </c>
      <c r="E312" s="4"/>
      <c r="F312" s="16">
        <f>D312+E312</f>
        <v>790</v>
      </c>
      <c r="G312" s="16"/>
      <c r="H312" s="16"/>
      <c r="I312" s="16"/>
      <c r="J312" s="16">
        <f>F312</f>
        <v>790</v>
      </c>
      <c r="K312" s="16">
        <v>790</v>
      </c>
    </row>
    <row r="313" spans="1:11" ht="33.75" customHeight="1" x14ac:dyDescent="0.25">
      <c r="A313" s="10" t="s">
        <v>35</v>
      </c>
      <c r="B313" s="11" t="s">
        <v>91</v>
      </c>
      <c r="C313" s="11" t="s">
        <v>36</v>
      </c>
      <c r="D313" s="4">
        <v>21.9</v>
      </c>
      <c r="E313" s="4"/>
      <c r="F313" s="16">
        <f>D313+E313</f>
        <v>21.9</v>
      </c>
      <c r="G313" s="16"/>
      <c r="H313" s="16"/>
      <c r="I313" s="16"/>
      <c r="J313" s="16">
        <f>F313</f>
        <v>21.9</v>
      </c>
      <c r="K313" s="16">
        <v>21.9</v>
      </c>
    </row>
    <row r="314" spans="1:11" ht="33.75" customHeight="1" x14ac:dyDescent="0.25">
      <c r="A314" s="21" t="s">
        <v>109</v>
      </c>
      <c r="B314" s="22" t="s">
        <v>113</v>
      </c>
      <c r="C314" s="22"/>
      <c r="D314" s="23">
        <f t="shared" ref="D314:K314" si="170">D315</f>
        <v>7720.4000000000005</v>
      </c>
      <c r="E314" s="23">
        <f t="shared" si="170"/>
        <v>0</v>
      </c>
      <c r="F314" s="28">
        <f t="shared" si="170"/>
        <v>7720.4000000000005</v>
      </c>
      <c r="G314" s="28">
        <f t="shared" si="170"/>
        <v>0</v>
      </c>
      <c r="H314" s="28">
        <f t="shared" si="170"/>
        <v>0</v>
      </c>
      <c r="I314" s="28">
        <f t="shared" si="170"/>
        <v>0</v>
      </c>
      <c r="J314" s="28">
        <f t="shared" si="170"/>
        <v>7720.4000000000005</v>
      </c>
      <c r="K314" s="28">
        <f t="shared" si="170"/>
        <v>7864.9</v>
      </c>
    </row>
    <row r="315" spans="1:11" ht="36" customHeight="1" x14ac:dyDescent="0.25">
      <c r="A315" s="44" t="s">
        <v>2</v>
      </c>
      <c r="B315" s="37" t="s">
        <v>113</v>
      </c>
      <c r="C315" s="37"/>
      <c r="D315" s="36">
        <f t="shared" ref="D315:J315" si="171">D316+D317+D318</f>
        <v>7720.4000000000005</v>
      </c>
      <c r="E315" s="36">
        <f t="shared" si="171"/>
        <v>0</v>
      </c>
      <c r="F315" s="46">
        <f t="shared" si="171"/>
        <v>7720.4000000000005</v>
      </c>
      <c r="G315" s="46">
        <f t="shared" si="171"/>
        <v>0</v>
      </c>
      <c r="H315" s="46">
        <f t="shared" si="171"/>
        <v>0</v>
      </c>
      <c r="I315" s="46">
        <f t="shared" si="171"/>
        <v>0</v>
      </c>
      <c r="J315" s="46">
        <f t="shared" si="171"/>
        <v>7720.4000000000005</v>
      </c>
      <c r="K315" s="46">
        <f t="shared" ref="K315" si="172">K316+K317+K318</f>
        <v>7864.9</v>
      </c>
    </row>
    <row r="316" spans="1:11" ht="76.5" customHeight="1" x14ac:dyDescent="0.25">
      <c r="A316" s="10" t="s">
        <v>33</v>
      </c>
      <c r="B316" s="11" t="s">
        <v>113</v>
      </c>
      <c r="C316" s="11" t="s">
        <v>34</v>
      </c>
      <c r="D316" s="4">
        <v>6688.39</v>
      </c>
      <c r="E316" s="4"/>
      <c r="F316" s="16">
        <f>D316+E316</f>
        <v>6688.39</v>
      </c>
      <c r="G316" s="16"/>
      <c r="H316" s="16"/>
      <c r="I316" s="16"/>
      <c r="J316" s="16">
        <f>F316+I316</f>
        <v>6688.39</v>
      </c>
      <c r="K316" s="16">
        <v>6636.29</v>
      </c>
    </row>
    <row r="317" spans="1:11" ht="33.75" customHeight="1" x14ac:dyDescent="0.25">
      <c r="A317" s="10" t="s">
        <v>35</v>
      </c>
      <c r="B317" s="11" t="s">
        <v>113</v>
      </c>
      <c r="C317" s="11" t="s">
        <v>36</v>
      </c>
      <c r="D317" s="4">
        <v>1027.01</v>
      </c>
      <c r="E317" s="4"/>
      <c r="F317" s="16">
        <f>D317+E317</f>
        <v>1027.01</v>
      </c>
      <c r="G317" s="16"/>
      <c r="H317" s="16"/>
      <c r="I317" s="16"/>
      <c r="J317" s="16">
        <f t="shared" ref="J317:J318" si="173">F317+I317</f>
        <v>1027.01</v>
      </c>
      <c r="K317" s="16">
        <v>1227.1099999999999</v>
      </c>
    </row>
    <row r="318" spans="1:11" ht="23.85" customHeight="1" x14ac:dyDescent="0.25">
      <c r="A318" s="10" t="s">
        <v>55</v>
      </c>
      <c r="B318" s="11" t="s">
        <v>113</v>
      </c>
      <c r="C318" s="11" t="s">
        <v>54</v>
      </c>
      <c r="D318" s="4">
        <v>5</v>
      </c>
      <c r="E318" s="4"/>
      <c r="F318" s="16">
        <f>D318+E318</f>
        <v>5</v>
      </c>
      <c r="G318" s="16"/>
      <c r="H318" s="16"/>
      <c r="I318" s="16"/>
      <c r="J318" s="16">
        <f t="shared" si="173"/>
        <v>5</v>
      </c>
      <c r="K318" s="16">
        <v>1.5</v>
      </c>
    </row>
    <row r="319" spans="1:11" ht="31.5" x14ac:dyDescent="0.25">
      <c r="A319" s="21" t="s">
        <v>114</v>
      </c>
      <c r="B319" s="22" t="s">
        <v>115</v>
      </c>
      <c r="C319" s="22"/>
      <c r="D319" s="23">
        <f t="shared" ref="D319:K319" si="174">D320</f>
        <v>1612.2</v>
      </c>
      <c r="E319" s="23">
        <f t="shared" si="174"/>
        <v>0</v>
      </c>
      <c r="F319" s="28">
        <f t="shared" si="174"/>
        <v>1612.2</v>
      </c>
      <c r="G319" s="28">
        <f t="shared" si="174"/>
        <v>0</v>
      </c>
      <c r="H319" s="28">
        <f t="shared" si="174"/>
        <v>0</v>
      </c>
      <c r="I319" s="28">
        <f t="shared" si="174"/>
        <v>0</v>
      </c>
      <c r="J319" s="28">
        <f t="shared" si="174"/>
        <v>1612.2</v>
      </c>
      <c r="K319" s="28">
        <f t="shared" si="174"/>
        <v>1502.2</v>
      </c>
    </row>
    <row r="320" spans="1:11" ht="15.75" x14ac:dyDescent="0.25">
      <c r="A320" s="44" t="s">
        <v>21</v>
      </c>
      <c r="B320" s="37" t="s">
        <v>115</v>
      </c>
      <c r="C320" s="37"/>
      <c r="D320" s="36">
        <f t="shared" ref="D320:J320" si="175">D321+D322</f>
        <v>1612.2</v>
      </c>
      <c r="E320" s="36">
        <f t="shared" si="175"/>
        <v>0</v>
      </c>
      <c r="F320" s="46">
        <f t="shared" si="175"/>
        <v>1612.2</v>
      </c>
      <c r="G320" s="46">
        <f t="shared" si="175"/>
        <v>0</v>
      </c>
      <c r="H320" s="46">
        <f t="shared" si="175"/>
        <v>0</v>
      </c>
      <c r="I320" s="46">
        <f t="shared" si="175"/>
        <v>0</v>
      </c>
      <c r="J320" s="46">
        <f t="shared" si="175"/>
        <v>1612.2</v>
      </c>
      <c r="K320" s="46">
        <f t="shared" ref="K320" si="176">K321+K322</f>
        <v>1502.2</v>
      </c>
    </row>
    <row r="321" spans="1:11" ht="78" customHeight="1" x14ac:dyDescent="0.25">
      <c r="A321" s="10" t="s">
        <v>33</v>
      </c>
      <c r="B321" s="11" t="s">
        <v>115</v>
      </c>
      <c r="C321" s="11" t="s">
        <v>34</v>
      </c>
      <c r="D321" s="4">
        <v>1372.2</v>
      </c>
      <c r="E321" s="4"/>
      <c r="F321" s="16">
        <f>D321+E321</f>
        <v>1372.2</v>
      </c>
      <c r="G321" s="16"/>
      <c r="H321" s="16"/>
      <c r="I321" s="16">
        <v>240</v>
      </c>
      <c r="J321" s="16">
        <f>F321+I321</f>
        <v>1612.2</v>
      </c>
      <c r="K321" s="16">
        <v>1502.2</v>
      </c>
    </row>
    <row r="322" spans="1:11" ht="31.5" hidden="1" x14ac:dyDescent="0.25">
      <c r="A322" s="10" t="s">
        <v>35</v>
      </c>
      <c r="B322" s="11" t="s">
        <v>115</v>
      </c>
      <c r="C322" s="11" t="s">
        <v>36</v>
      </c>
      <c r="D322" s="4">
        <v>240</v>
      </c>
      <c r="E322" s="4"/>
      <c r="F322" s="16">
        <f>D322+E322</f>
        <v>240</v>
      </c>
      <c r="G322" s="16"/>
      <c r="H322" s="16"/>
      <c r="I322" s="16">
        <v>-240</v>
      </c>
      <c r="J322" s="16">
        <f>F322+I322</f>
        <v>0</v>
      </c>
      <c r="K322" s="16"/>
    </row>
    <row r="323" spans="1:11" ht="47.25" x14ac:dyDescent="0.25">
      <c r="A323" s="21" t="s">
        <v>176</v>
      </c>
      <c r="B323" s="22" t="s">
        <v>178</v>
      </c>
      <c r="C323" s="22"/>
      <c r="D323" s="23">
        <f t="shared" ref="D323:J323" si="177">D324+D326</f>
        <v>2815.8</v>
      </c>
      <c r="E323" s="23">
        <f t="shared" si="177"/>
        <v>0</v>
      </c>
      <c r="F323" s="28">
        <f t="shared" si="177"/>
        <v>2815.8</v>
      </c>
      <c r="G323" s="28">
        <f t="shared" si="177"/>
        <v>0</v>
      </c>
      <c r="H323" s="28">
        <f t="shared" si="177"/>
        <v>0</v>
      </c>
      <c r="I323" s="28">
        <f t="shared" si="177"/>
        <v>505.8</v>
      </c>
      <c r="J323" s="28">
        <f t="shared" si="177"/>
        <v>3571.6000000000004</v>
      </c>
      <c r="K323" s="28">
        <f t="shared" ref="K323" si="178">K324+K326</f>
        <v>3571.6000000000004</v>
      </c>
    </row>
    <row r="324" spans="1:11" ht="24.75" customHeight="1" x14ac:dyDescent="0.25">
      <c r="A324" s="44" t="s">
        <v>198</v>
      </c>
      <c r="B324" s="37" t="s">
        <v>199</v>
      </c>
      <c r="C324" s="37"/>
      <c r="D324" s="36">
        <f t="shared" ref="D324:K324" si="179">D325</f>
        <v>215.8</v>
      </c>
      <c r="E324" s="36">
        <f t="shared" si="179"/>
        <v>0</v>
      </c>
      <c r="F324" s="46">
        <f t="shared" si="179"/>
        <v>215.8</v>
      </c>
      <c r="G324" s="46">
        <f t="shared" si="179"/>
        <v>0</v>
      </c>
      <c r="H324" s="46">
        <f t="shared" si="179"/>
        <v>0</v>
      </c>
      <c r="I324" s="46">
        <f t="shared" si="179"/>
        <v>0</v>
      </c>
      <c r="J324" s="46">
        <f t="shared" si="179"/>
        <v>215.8</v>
      </c>
      <c r="K324" s="46">
        <f t="shared" si="179"/>
        <v>215.8</v>
      </c>
    </row>
    <row r="325" spans="1:11" ht="47.25" x14ac:dyDescent="0.25">
      <c r="A325" s="10" t="s">
        <v>29</v>
      </c>
      <c r="B325" s="11" t="s">
        <v>199</v>
      </c>
      <c r="C325" s="11" t="s">
        <v>28</v>
      </c>
      <c r="D325" s="4">
        <v>215.8</v>
      </c>
      <c r="E325" s="4"/>
      <c r="F325" s="16">
        <f>D325+E325</f>
        <v>215.8</v>
      </c>
      <c r="G325" s="16"/>
      <c r="H325" s="16"/>
      <c r="I325" s="16"/>
      <c r="J325" s="16">
        <f>F325+H325</f>
        <v>215.8</v>
      </c>
      <c r="K325" s="16">
        <v>215.8</v>
      </c>
    </row>
    <row r="326" spans="1:11" ht="63" x14ac:dyDescent="0.25">
      <c r="A326" s="44" t="s">
        <v>177</v>
      </c>
      <c r="B326" s="37" t="s">
        <v>178</v>
      </c>
      <c r="C326" s="37"/>
      <c r="D326" s="36">
        <f t="shared" ref="D326:K326" si="180">D327</f>
        <v>2600</v>
      </c>
      <c r="E326" s="36">
        <f t="shared" si="180"/>
        <v>0</v>
      </c>
      <c r="F326" s="46">
        <f t="shared" si="180"/>
        <v>2600</v>
      </c>
      <c r="G326" s="46">
        <f t="shared" si="180"/>
        <v>0</v>
      </c>
      <c r="H326" s="46">
        <f t="shared" si="180"/>
        <v>0</v>
      </c>
      <c r="I326" s="46">
        <f t="shared" si="180"/>
        <v>505.8</v>
      </c>
      <c r="J326" s="46">
        <f t="shared" si="180"/>
        <v>3355.8</v>
      </c>
      <c r="K326" s="46">
        <f t="shared" si="180"/>
        <v>3355.8</v>
      </c>
    </row>
    <row r="327" spans="1:11" ht="47.25" x14ac:dyDescent="0.25">
      <c r="A327" s="10" t="s">
        <v>29</v>
      </c>
      <c r="B327" s="11" t="s">
        <v>178</v>
      </c>
      <c r="C327" s="11" t="s">
        <v>28</v>
      </c>
      <c r="D327" s="4">
        <v>2600</v>
      </c>
      <c r="E327" s="4"/>
      <c r="F327" s="16">
        <f>D327+E327</f>
        <v>2600</v>
      </c>
      <c r="G327" s="16"/>
      <c r="H327" s="16"/>
      <c r="I327" s="16">
        <v>505.8</v>
      </c>
      <c r="J327" s="16">
        <f>F327+I327+250</f>
        <v>3355.8</v>
      </c>
      <c r="K327" s="16">
        <v>3355.8</v>
      </c>
    </row>
    <row r="328" spans="1:11" ht="31.5" x14ac:dyDescent="0.25">
      <c r="A328" s="5" t="s">
        <v>335</v>
      </c>
      <c r="B328" s="7" t="s">
        <v>108</v>
      </c>
      <c r="C328" s="7"/>
      <c r="D328" s="6">
        <f t="shared" ref="D328:J328" si="181">D329+D335</f>
        <v>10339</v>
      </c>
      <c r="E328" s="6">
        <f t="shared" si="181"/>
        <v>0</v>
      </c>
      <c r="F328" s="15">
        <f t="shared" si="181"/>
        <v>10339</v>
      </c>
      <c r="G328" s="15">
        <f t="shared" si="181"/>
        <v>0</v>
      </c>
      <c r="H328" s="15">
        <f t="shared" si="181"/>
        <v>0</v>
      </c>
      <c r="I328" s="15">
        <f t="shared" si="181"/>
        <v>0</v>
      </c>
      <c r="J328" s="15">
        <f t="shared" si="181"/>
        <v>10339</v>
      </c>
      <c r="K328" s="15">
        <f t="shared" ref="K328" si="182">K329+K335</f>
        <v>10339.000000000002</v>
      </c>
    </row>
    <row r="329" spans="1:11" ht="47.25" x14ac:dyDescent="0.25">
      <c r="A329" s="21" t="s">
        <v>109</v>
      </c>
      <c r="B329" s="22" t="s">
        <v>111</v>
      </c>
      <c r="C329" s="22"/>
      <c r="D329" s="23">
        <f t="shared" ref="D329:K329" si="183">D330</f>
        <v>9819</v>
      </c>
      <c r="E329" s="23">
        <f t="shared" si="183"/>
        <v>0</v>
      </c>
      <c r="F329" s="28">
        <f t="shared" si="183"/>
        <v>9819</v>
      </c>
      <c r="G329" s="28">
        <f t="shared" si="183"/>
        <v>0</v>
      </c>
      <c r="H329" s="28">
        <f t="shared" si="183"/>
        <v>0</v>
      </c>
      <c r="I329" s="28">
        <f t="shared" si="183"/>
        <v>-31.999999999999993</v>
      </c>
      <c r="J329" s="28">
        <f t="shared" si="183"/>
        <v>9787</v>
      </c>
      <c r="K329" s="28">
        <f t="shared" si="183"/>
        <v>9787.0000000000018</v>
      </c>
    </row>
    <row r="330" spans="1:11" ht="31.5" x14ac:dyDescent="0.25">
      <c r="A330" s="10" t="s">
        <v>2</v>
      </c>
      <c r="B330" s="11" t="s">
        <v>111</v>
      </c>
      <c r="C330" s="11"/>
      <c r="D330" s="4">
        <f t="shared" ref="D330:I330" si="184">D331+D332+D334</f>
        <v>9819</v>
      </c>
      <c r="E330" s="4">
        <f t="shared" si="184"/>
        <v>0</v>
      </c>
      <c r="F330" s="16">
        <f t="shared" si="184"/>
        <v>9819</v>
      </c>
      <c r="G330" s="16">
        <f t="shared" si="184"/>
        <v>0</v>
      </c>
      <c r="H330" s="16">
        <f t="shared" si="184"/>
        <v>0</v>
      </c>
      <c r="I330" s="16">
        <f t="shared" si="184"/>
        <v>-31.999999999999993</v>
      </c>
      <c r="J330" s="16">
        <f>J331+J332+J334+J333</f>
        <v>9787</v>
      </c>
      <c r="K330" s="16">
        <f>K331+K332+K334+K333</f>
        <v>9787.0000000000018</v>
      </c>
    </row>
    <row r="331" spans="1:11" ht="78.75" x14ac:dyDescent="0.25">
      <c r="A331" s="10" t="s">
        <v>33</v>
      </c>
      <c r="B331" s="11" t="s">
        <v>111</v>
      </c>
      <c r="C331" s="11" t="s">
        <v>34</v>
      </c>
      <c r="D331" s="4">
        <v>8821.92</v>
      </c>
      <c r="E331" s="4"/>
      <c r="F331" s="16">
        <f>D331+E331</f>
        <v>8821.92</v>
      </c>
      <c r="G331" s="16"/>
      <c r="H331" s="16"/>
      <c r="I331" s="16">
        <v>-234.6</v>
      </c>
      <c r="J331" s="16">
        <f>F331+I331</f>
        <v>8587.32</v>
      </c>
      <c r="K331" s="16">
        <v>8304.5400000000009</v>
      </c>
    </row>
    <row r="332" spans="1:11" ht="31.5" x14ac:dyDescent="0.25">
      <c r="A332" s="10" t="s">
        <v>35</v>
      </c>
      <c r="B332" s="11" t="s">
        <v>111</v>
      </c>
      <c r="C332" s="11" t="s">
        <v>36</v>
      </c>
      <c r="D332" s="4">
        <v>992.08</v>
      </c>
      <c r="E332" s="4"/>
      <c r="F332" s="16">
        <f>D332+E332</f>
        <v>992.08</v>
      </c>
      <c r="G332" s="16"/>
      <c r="H332" s="16"/>
      <c r="I332" s="16">
        <v>190.5</v>
      </c>
      <c r="J332" s="16">
        <f t="shared" ref="J332:J334" si="185">F332+I332</f>
        <v>1182.58</v>
      </c>
      <c r="K332" s="16">
        <v>1423.68</v>
      </c>
    </row>
    <row r="333" spans="1:11" ht="31.5" x14ac:dyDescent="0.25">
      <c r="A333" s="10" t="s">
        <v>74</v>
      </c>
      <c r="B333" s="11" t="s">
        <v>111</v>
      </c>
      <c r="C333" s="11" t="s">
        <v>76</v>
      </c>
      <c r="D333" s="4">
        <v>5</v>
      </c>
      <c r="E333" s="4"/>
      <c r="F333" s="16">
        <f>D333+E333</f>
        <v>5</v>
      </c>
      <c r="G333" s="16"/>
      <c r="H333" s="16"/>
      <c r="I333" s="16">
        <v>12.1</v>
      </c>
      <c r="J333" s="16">
        <v>0</v>
      </c>
      <c r="K333" s="16">
        <v>45.93</v>
      </c>
    </row>
    <row r="334" spans="1:11" ht="15.75" x14ac:dyDescent="0.25">
      <c r="A334" s="10" t="s">
        <v>55</v>
      </c>
      <c r="B334" s="11" t="s">
        <v>111</v>
      </c>
      <c r="C334" s="11" t="s">
        <v>54</v>
      </c>
      <c r="D334" s="4">
        <v>5</v>
      </c>
      <c r="E334" s="4"/>
      <c r="F334" s="16">
        <f>D334+E334</f>
        <v>5</v>
      </c>
      <c r="G334" s="16"/>
      <c r="H334" s="16"/>
      <c r="I334" s="16">
        <v>12.1</v>
      </c>
      <c r="J334" s="16">
        <f t="shared" si="185"/>
        <v>17.100000000000001</v>
      </c>
      <c r="K334" s="16">
        <v>12.85</v>
      </c>
    </row>
    <row r="335" spans="1:11" ht="31.5" x14ac:dyDescent="0.25">
      <c r="A335" s="21" t="s">
        <v>110</v>
      </c>
      <c r="B335" s="22" t="s">
        <v>112</v>
      </c>
      <c r="C335" s="22"/>
      <c r="D335" s="23">
        <f t="shared" ref="D335:K336" si="186">D336</f>
        <v>520</v>
      </c>
      <c r="E335" s="23">
        <f t="shared" si="186"/>
        <v>0</v>
      </c>
      <c r="F335" s="28">
        <f t="shared" si="186"/>
        <v>520</v>
      </c>
      <c r="G335" s="28">
        <f t="shared" si="186"/>
        <v>0</v>
      </c>
      <c r="H335" s="28">
        <f t="shared" si="186"/>
        <v>0</v>
      </c>
      <c r="I335" s="28">
        <f t="shared" si="186"/>
        <v>32</v>
      </c>
      <c r="J335" s="28">
        <f t="shared" si="186"/>
        <v>552</v>
      </c>
      <c r="K335" s="28">
        <f t="shared" si="186"/>
        <v>552</v>
      </c>
    </row>
    <row r="336" spans="1:11" ht="47.25" x14ac:dyDescent="0.25">
      <c r="A336" s="44" t="s">
        <v>17</v>
      </c>
      <c r="B336" s="37" t="s">
        <v>112</v>
      </c>
      <c r="C336" s="37"/>
      <c r="D336" s="36">
        <f t="shared" si="186"/>
        <v>520</v>
      </c>
      <c r="E336" s="36">
        <f t="shared" si="186"/>
        <v>0</v>
      </c>
      <c r="F336" s="46">
        <f t="shared" si="186"/>
        <v>520</v>
      </c>
      <c r="G336" s="46">
        <f t="shared" si="186"/>
        <v>0</v>
      </c>
      <c r="H336" s="46">
        <f t="shared" si="186"/>
        <v>0</v>
      </c>
      <c r="I336" s="46">
        <f t="shared" si="186"/>
        <v>32</v>
      </c>
      <c r="J336" s="46">
        <f t="shared" si="186"/>
        <v>552</v>
      </c>
      <c r="K336" s="46">
        <f t="shared" si="186"/>
        <v>552</v>
      </c>
    </row>
    <row r="337" spans="1:11" ht="31.5" x14ac:dyDescent="0.25">
      <c r="A337" s="10" t="s">
        <v>35</v>
      </c>
      <c r="B337" s="11" t="s">
        <v>112</v>
      </c>
      <c r="C337" s="11" t="s">
        <v>36</v>
      </c>
      <c r="D337" s="4">
        <v>520</v>
      </c>
      <c r="E337" s="4"/>
      <c r="F337" s="16">
        <f>D337+E337</f>
        <v>520</v>
      </c>
      <c r="G337" s="16"/>
      <c r="H337" s="16"/>
      <c r="I337" s="16">
        <v>32</v>
      </c>
      <c r="J337" s="16">
        <f>F337+I337</f>
        <v>552</v>
      </c>
      <c r="K337" s="16">
        <v>552</v>
      </c>
    </row>
    <row r="338" spans="1:11" ht="15.75" x14ac:dyDescent="0.25">
      <c r="A338" s="5" t="s">
        <v>116</v>
      </c>
      <c r="B338" s="7" t="s">
        <v>119</v>
      </c>
      <c r="C338" s="7"/>
      <c r="D338" s="6">
        <f t="shared" ref="D338:J338" si="187">D339+D343</f>
        <v>4409.3</v>
      </c>
      <c r="E338" s="6">
        <f t="shared" si="187"/>
        <v>0</v>
      </c>
      <c r="F338" s="15">
        <f t="shared" si="187"/>
        <v>4409.3</v>
      </c>
      <c r="G338" s="15">
        <f t="shared" si="187"/>
        <v>0</v>
      </c>
      <c r="H338" s="15">
        <f t="shared" si="187"/>
        <v>0</v>
      </c>
      <c r="I338" s="15">
        <f t="shared" si="187"/>
        <v>105.46000000000001</v>
      </c>
      <c r="J338" s="15">
        <f t="shared" si="187"/>
        <v>4514.76</v>
      </c>
      <c r="K338" s="15">
        <f t="shared" ref="K338" si="188">K339+K343</f>
        <v>5679.84</v>
      </c>
    </row>
    <row r="339" spans="1:11" ht="47.25" x14ac:dyDescent="0.25">
      <c r="A339" s="21" t="s">
        <v>117</v>
      </c>
      <c r="B339" s="22" t="s">
        <v>120</v>
      </c>
      <c r="C339" s="22"/>
      <c r="D339" s="23">
        <f t="shared" ref="D339:K339" si="189">D340</f>
        <v>3909.3</v>
      </c>
      <c r="E339" s="23">
        <f t="shared" si="189"/>
        <v>0</v>
      </c>
      <c r="F339" s="28">
        <f t="shared" si="189"/>
        <v>3909.3</v>
      </c>
      <c r="G339" s="28">
        <f t="shared" si="189"/>
        <v>0</v>
      </c>
      <c r="H339" s="28">
        <f t="shared" si="189"/>
        <v>0</v>
      </c>
      <c r="I339" s="28">
        <f t="shared" si="189"/>
        <v>-38.54</v>
      </c>
      <c r="J339" s="28">
        <f t="shared" si="189"/>
        <v>3960.76</v>
      </c>
      <c r="K339" s="28">
        <f t="shared" si="189"/>
        <v>3968.96</v>
      </c>
    </row>
    <row r="340" spans="1:11" ht="35.25" customHeight="1" x14ac:dyDescent="0.25">
      <c r="A340" s="10" t="s">
        <v>118</v>
      </c>
      <c r="B340" s="11" t="s">
        <v>120</v>
      </c>
      <c r="C340" s="11"/>
      <c r="D340" s="4">
        <f t="shared" ref="D340:J340" si="190">D341+D342</f>
        <v>3909.3</v>
      </c>
      <c r="E340" s="4">
        <f t="shared" si="190"/>
        <v>0</v>
      </c>
      <c r="F340" s="16">
        <f t="shared" si="190"/>
        <v>3909.3</v>
      </c>
      <c r="G340" s="16">
        <f t="shared" si="190"/>
        <v>0</v>
      </c>
      <c r="H340" s="16">
        <f t="shared" si="190"/>
        <v>0</v>
      </c>
      <c r="I340" s="16">
        <f t="shared" si="190"/>
        <v>-38.54</v>
      </c>
      <c r="J340" s="16">
        <f t="shared" si="190"/>
        <v>3960.76</v>
      </c>
      <c r="K340" s="16">
        <f t="shared" ref="K340" si="191">K341+K342</f>
        <v>3968.96</v>
      </c>
    </row>
    <row r="341" spans="1:11" ht="78.75" x14ac:dyDescent="0.25">
      <c r="A341" s="10" t="s">
        <v>33</v>
      </c>
      <c r="B341" s="11" t="s">
        <v>120</v>
      </c>
      <c r="C341" s="11" t="s">
        <v>34</v>
      </c>
      <c r="D341" s="4">
        <v>3859.26</v>
      </c>
      <c r="E341" s="4"/>
      <c r="F341" s="16">
        <f>D341+E341</f>
        <v>3859.26</v>
      </c>
      <c r="G341" s="16"/>
      <c r="H341" s="16"/>
      <c r="I341" s="16"/>
      <c r="J341" s="16">
        <f>F341+I341+90</f>
        <v>3949.26</v>
      </c>
      <c r="K341" s="16">
        <v>3949.26</v>
      </c>
    </row>
    <row r="342" spans="1:11" ht="31.5" x14ac:dyDescent="0.25">
      <c r="A342" s="10" t="s">
        <v>35</v>
      </c>
      <c r="B342" s="11" t="s">
        <v>120</v>
      </c>
      <c r="C342" s="11" t="s">
        <v>36</v>
      </c>
      <c r="D342" s="4">
        <v>50.04</v>
      </c>
      <c r="E342" s="4"/>
      <c r="F342" s="16">
        <f>D342+E342</f>
        <v>50.04</v>
      </c>
      <c r="G342" s="16"/>
      <c r="H342" s="16"/>
      <c r="I342" s="16">
        <v>-38.54</v>
      </c>
      <c r="J342" s="16">
        <f>F342+I342</f>
        <v>11.5</v>
      </c>
      <c r="K342" s="16">
        <v>19.7</v>
      </c>
    </row>
    <row r="343" spans="1:11" ht="32.25" customHeight="1" x14ac:dyDescent="0.25">
      <c r="A343" s="21" t="s">
        <v>224</v>
      </c>
      <c r="B343" s="22" t="s">
        <v>122</v>
      </c>
      <c r="C343" s="22"/>
      <c r="D343" s="23">
        <f t="shared" ref="D343:K344" si="192">D344</f>
        <v>500</v>
      </c>
      <c r="E343" s="23">
        <f t="shared" si="192"/>
        <v>0</v>
      </c>
      <c r="F343" s="28">
        <f t="shared" si="192"/>
        <v>500</v>
      </c>
      <c r="G343" s="28">
        <f t="shared" si="192"/>
        <v>0</v>
      </c>
      <c r="H343" s="28">
        <f t="shared" si="192"/>
        <v>0</v>
      </c>
      <c r="I343" s="28">
        <f t="shared" si="192"/>
        <v>144</v>
      </c>
      <c r="J343" s="28">
        <f t="shared" si="192"/>
        <v>554</v>
      </c>
      <c r="K343" s="28">
        <f t="shared" si="192"/>
        <v>1710.88</v>
      </c>
    </row>
    <row r="344" spans="1:11" ht="67.5" customHeight="1" x14ac:dyDescent="0.25">
      <c r="A344" s="10" t="s">
        <v>121</v>
      </c>
      <c r="B344" s="11" t="s">
        <v>122</v>
      </c>
      <c r="C344" s="11"/>
      <c r="D344" s="4">
        <f t="shared" si="192"/>
        <v>500</v>
      </c>
      <c r="E344" s="4">
        <f t="shared" si="192"/>
        <v>0</v>
      </c>
      <c r="F344" s="16">
        <f t="shared" si="192"/>
        <v>500</v>
      </c>
      <c r="G344" s="16">
        <f t="shared" si="192"/>
        <v>0</v>
      </c>
      <c r="H344" s="16">
        <f t="shared" si="192"/>
        <v>0</v>
      </c>
      <c r="I344" s="16">
        <f t="shared" si="192"/>
        <v>144</v>
      </c>
      <c r="J344" s="16">
        <f t="shared" si="192"/>
        <v>554</v>
      </c>
      <c r="K344" s="16">
        <f t="shared" si="192"/>
        <v>1710.88</v>
      </c>
    </row>
    <row r="345" spans="1:11" ht="31.5" x14ac:dyDescent="0.25">
      <c r="A345" s="10" t="s">
        <v>35</v>
      </c>
      <c r="B345" s="11" t="s">
        <v>122</v>
      </c>
      <c r="C345" s="11" t="s">
        <v>36</v>
      </c>
      <c r="D345" s="4">
        <v>500</v>
      </c>
      <c r="E345" s="4"/>
      <c r="F345" s="16">
        <f>D345+E345</f>
        <v>500</v>
      </c>
      <c r="G345" s="16"/>
      <c r="H345" s="16"/>
      <c r="I345" s="16">
        <f>65-65+144</f>
        <v>144</v>
      </c>
      <c r="J345" s="16">
        <f>F345+I345-90</f>
        <v>554</v>
      </c>
      <c r="K345" s="16">
        <v>1710.88</v>
      </c>
    </row>
    <row r="346" spans="1:11" ht="31.5" x14ac:dyDescent="0.25">
      <c r="A346" s="5" t="s">
        <v>164</v>
      </c>
      <c r="B346" s="7" t="s">
        <v>166</v>
      </c>
      <c r="C346" s="7"/>
      <c r="D346" s="6">
        <f t="shared" ref="D346:J346" si="193">D347+D350+D353+D358+D361+D356</f>
        <v>4643.7</v>
      </c>
      <c r="E346" s="6">
        <f t="shared" si="193"/>
        <v>1160</v>
      </c>
      <c r="F346" s="15">
        <f t="shared" si="193"/>
        <v>5803.7</v>
      </c>
      <c r="G346" s="15">
        <f t="shared" si="193"/>
        <v>1000</v>
      </c>
      <c r="H346" s="15">
        <f t="shared" si="193"/>
        <v>0</v>
      </c>
      <c r="I346" s="15">
        <f t="shared" si="193"/>
        <v>-99.93</v>
      </c>
      <c r="J346" s="15">
        <f t="shared" si="193"/>
        <v>6433.0199999999995</v>
      </c>
      <c r="K346" s="15">
        <f t="shared" ref="K346" si="194">K347+K350+K353+K358+K361+K356</f>
        <v>6464.7899999999991</v>
      </c>
    </row>
    <row r="347" spans="1:11" ht="55.5" customHeight="1" x14ac:dyDescent="0.25">
      <c r="A347" s="21" t="s">
        <v>165</v>
      </c>
      <c r="B347" s="22" t="s">
        <v>167</v>
      </c>
      <c r="C347" s="22"/>
      <c r="D347" s="23">
        <f t="shared" ref="D347:K348" si="195">D348</f>
        <v>50</v>
      </c>
      <c r="E347" s="23">
        <f t="shared" si="195"/>
        <v>600</v>
      </c>
      <c r="F347" s="28">
        <f t="shared" si="195"/>
        <v>650</v>
      </c>
      <c r="G347" s="28">
        <f t="shared" si="195"/>
        <v>0</v>
      </c>
      <c r="H347" s="28">
        <f t="shared" si="195"/>
        <v>0</v>
      </c>
      <c r="I347" s="28">
        <f t="shared" si="195"/>
        <v>-99.93</v>
      </c>
      <c r="J347" s="28">
        <f t="shared" si="195"/>
        <v>550.06999999999994</v>
      </c>
      <c r="K347" s="28">
        <f t="shared" si="195"/>
        <v>550.07000000000005</v>
      </c>
    </row>
    <row r="348" spans="1:11" ht="47.25" x14ac:dyDescent="0.25">
      <c r="A348" s="44" t="s">
        <v>207</v>
      </c>
      <c r="B348" s="37" t="s">
        <v>167</v>
      </c>
      <c r="C348" s="37"/>
      <c r="D348" s="36">
        <f t="shared" si="195"/>
        <v>50</v>
      </c>
      <c r="E348" s="36">
        <f t="shared" si="195"/>
        <v>600</v>
      </c>
      <c r="F348" s="46">
        <f t="shared" si="195"/>
        <v>650</v>
      </c>
      <c r="G348" s="46">
        <f t="shared" si="195"/>
        <v>0</v>
      </c>
      <c r="H348" s="46">
        <f t="shared" si="195"/>
        <v>0</v>
      </c>
      <c r="I348" s="46">
        <f t="shared" si="195"/>
        <v>-99.93</v>
      </c>
      <c r="J348" s="46">
        <f t="shared" si="195"/>
        <v>550.06999999999994</v>
      </c>
      <c r="K348" s="46">
        <f t="shared" si="195"/>
        <v>550.07000000000005</v>
      </c>
    </row>
    <row r="349" spans="1:11" ht="31.5" x14ac:dyDescent="0.25">
      <c r="A349" s="10" t="s">
        <v>35</v>
      </c>
      <c r="B349" s="11" t="s">
        <v>167</v>
      </c>
      <c r="C349" s="11" t="s">
        <v>36</v>
      </c>
      <c r="D349" s="4">
        <v>50</v>
      </c>
      <c r="E349" s="4">
        <v>600</v>
      </c>
      <c r="F349" s="16">
        <f>D349+E349</f>
        <v>650</v>
      </c>
      <c r="G349" s="16"/>
      <c r="H349" s="16"/>
      <c r="I349" s="16">
        <v>-99.93</v>
      </c>
      <c r="J349" s="16">
        <f>F349+I349</f>
        <v>550.06999999999994</v>
      </c>
      <c r="K349" s="16">
        <v>550.07000000000005</v>
      </c>
    </row>
    <row r="350" spans="1:11" ht="77.25" customHeight="1" x14ac:dyDescent="0.25">
      <c r="A350" s="21" t="s">
        <v>169</v>
      </c>
      <c r="B350" s="22" t="s">
        <v>171</v>
      </c>
      <c r="C350" s="22"/>
      <c r="D350" s="23">
        <f t="shared" ref="D350:K351" si="196">D351</f>
        <v>2893.7</v>
      </c>
      <c r="E350" s="23">
        <f t="shared" si="196"/>
        <v>0</v>
      </c>
      <c r="F350" s="28">
        <f t="shared" si="196"/>
        <v>2893.7</v>
      </c>
      <c r="G350" s="28">
        <f t="shared" si="196"/>
        <v>1000</v>
      </c>
      <c r="H350" s="28">
        <f t="shared" si="196"/>
        <v>0</v>
      </c>
      <c r="I350" s="28">
        <f t="shared" si="196"/>
        <v>0</v>
      </c>
      <c r="J350" s="28">
        <f t="shared" si="196"/>
        <v>3622.95</v>
      </c>
      <c r="K350" s="28">
        <f t="shared" si="196"/>
        <v>3622.95</v>
      </c>
    </row>
    <row r="351" spans="1:11" ht="42" customHeight="1" x14ac:dyDescent="0.25">
      <c r="A351" s="44" t="s">
        <v>170</v>
      </c>
      <c r="B351" s="37" t="s">
        <v>171</v>
      </c>
      <c r="C351" s="37"/>
      <c r="D351" s="36">
        <f t="shared" si="196"/>
        <v>2893.7</v>
      </c>
      <c r="E351" s="36">
        <f t="shared" si="196"/>
        <v>0</v>
      </c>
      <c r="F351" s="46">
        <f t="shared" si="196"/>
        <v>2893.7</v>
      </c>
      <c r="G351" s="46">
        <f t="shared" si="196"/>
        <v>1000</v>
      </c>
      <c r="H351" s="46">
        <f t="shared" si="196"/>
        <v>0</v>
      </c>
      <c r="I351" s="46">
        <f t="shared" si="196"/>
        <v>0</v>
      </c>
      <c r="J351" s="46">
        <f t="shared" si="196"/>
        <v>3622.95</v>
      </c>
      <c r="K351" s="46">
        <f t="shared" si="196"/>
        <v>3622.95</v>
      </c>
    </row>
    <row r="352" spans="1:11" ht="31.5" x14ac:dyDescent="0.25">
      <c r="A352" s="10" t="s">
        <v>35</v>
      </c>
      <c r="B352" s="11" t="s">
        <v>171</v>
      </c>
      <c r="C352" s="11" t="s">
        <v>36</v>
      </c>
      <c r="D352" s="4">
        <v>2893.7</v>
      </c>
      <c r="E352" s="4"/>
      <c r="F352" s="16">
        <f>D352+E352</f>
        <v>2893.7</v>
      </c>
      <c r="G352" s="16">
        <v>1000</v>
      </c>
      <c r="H352" s="16"/>
      <c r="I352" s="16"/>
      <c r="J352" s="16">
        <f>F352+G352-270.75</f>
        <v>3622.95</v>
      </c>
      <c r="K352" s="16">
        <v>3622.95</v>
      </c>
    </row>
    <row r="353" spans="1:11" ht="47.25" x14ac:dyDescent="0.25">
      <c r="A353" s="21" t="s">
        <v>172</v>
      </c>
      <c r="B353" s="22" t="s">
        <v>174</v>
      </c>
      <c r="C353" s="22"/>
      <c r="D353" s="23">
        <f t="shared" ref="D353:K354" si="197">D354</f>
        <v>100</v>
      </c>
      <c r="E353" s="23">
        <f t="shared" si="197"/>
        <v>300</v>
      </c>
      <c r="F353" s="28">
        <f t="shared" si="197"/>
        <v>400</v>
      </c>
      <c r="G353" s="28">
        <f t="shared" si="197"/>
        <v>0</v>
      </c>
      <c r="H353" s="28">
        <f t="shared" si="197"/>
        <v>0</v>
      </c>
      <c r="I353" s="28">
        <f t="shared" si="197"/>
        <v>0</v>
      </c>
      <c r="J353" s="28">
        <f t="shared" si="197"/>
        <v>400</v>
      </c>
      <c r="K353" s="28">
        <f t="shared" si="197"/>
        <v>400</v>
      </c>
    </row>
    <row r="354" spans="1:11" ht="31.5" x14ac:dyDescent="0.25">
      <c r="A354" s="44" t="s">
        <v>173</v>
      </c>
      <c r="B354" s="37" t="s">
        <v>174</v>
      </c>
      <c r="C354" s="37"/>
      <c r="D354" s="36">
        <f t="shared" si="197"/>
        <v>100</v>
      </c>
      <c r="E354" s="36">
        <f t="shared" si="197"/>
        <v>300</v>
      </c>
      <c r="F354" s="46">
        <f t="shared" si="197"/>
        <v>400</v>
      </c>
      <c r="G354" s="46">
        <f t="shared" si="197"/>
        <v>0</v>
      </c>
      <c r="H354" s="46">
        <f t="shared" si="197"/>
        <v>0</v>
      </c>
      <c r="I354" s="46">
        <f t="shared" si="197"/>
        <v>0</v>
      </c>
      <c r="J354" s="46">
        <f t="shared" si="197"/>
        <v>400</v>
      </c>
      <c r="K354" s="46">
        <f t="shared" si="197"/>
        <v>400</v>
      </c>
    </row>
    <row r="355" spans="1:11" ht="31.5" x14ac:dyDescent="0.25">
      <c r="A355" s="10" t="s">
        <v>35</v>
      </c>
      <c r="B355" s="11" t="s">
        <v>174</v>
      </c>
      <c r="C355" s="11" t="s">
        <v>36</v>
      </c>
      <c r="D355" s="4">
        <v>100</v>
      </c>
      <c r="E355" s="4">
        <v>300</v>
      </c>
      <c r="F355" s="16">
        <f>D355+E355</f>
        <v>400</v>
      </c>
      <c r="G355" s="16"/>
      <c r="H355" s="16"/>
      <c r="I355" s="16"/>
      <c r="J355" s="16">
        <f>F355+I355</f>
        <v>400</v>
      </c>
      <c r="K355" s="16">
        <v>400</v>
      </c>
    </row>
    <row r="356" spans="1:11" ht="31.5" x14ac:dyDescent="0.25">
      <c r="A356" s="44" t="s">
        <v>208</v>
      </c>
      <c r="B356" s="37" t="s">
        <v>209</v>
      </c>
      <c r="C356" s="37"/>
      <c r="D356" s="36">
        <f t="shared" ref="D356:K356" si="198">D357</f>
        <v>300</v>
      </c>
      <c r="E356" s="36">
        <f t="shared" si="198"/>
        <v>260</v>
      </c>
      <c r="F356" s="46">
        <f t="shared" si="198"/>
        <v>560</v>
      </c>
      <c r="G356" s="46">
        <f t="shared" si="198"/>
        <v>0</v>
      </c>
      <c r="H356" s="46">
        <f t="shared" si="198"/>
        <v>0</v>
      </c>
      <c r="I356" s="46">
        <f t="shared" si="198"/>
        <v>0</v>
      </c>
      <c r="J356" s="46">
        <f t="shared" si="198"/>
        <v>560</v>
      </c>
      <c r="K356" s="46">
        <f t="shared" si="198"/>
        <v>591.77</v>
      </c>
    </row>
    <row r="357" spans="1:11" ht="31.5" x14ac:dyDescent="0.25">
      <c r="A357" s="10" t="s">
        <v>35</v>
      </c>
      <c r="B357" s="11" t="s">
        <v>209</v>
      </c>
      <c r="C357" s="11" t="s">
        <v>36</v>
      </c>
      <c r="D357" s="4">
        <v>300</v>
      </c>
      <c r="E357" s="4">
        <v>260</v>
      </c>
      <c r="F357" s="16">
        <f>D357+E357</f>
        <v>560</v>
      </c>
      <c r="G357" s="16"/>
      <c r="H357" s="16"/>
      <c r="I357" s="16"/>
      <c r="J357" s="16">
        <f>F357</f>
        <v>560</v>
      </c>
      <c r="K357" s="16">
        <v>591.77</v>
      </c>
    </row>
    <row r="358" spans="1:11" ht="45" customHeight="1" x14ac:dyDescent="0.25">
      <c r="A358" s="21" t="s">
        <v>184</v>
      </c>
      <c r="B358" s="22" t="s">
        <v>183</v>
      </c>
      <c r="C358" s="22"/>
      <c r="D358" s="23">
        <f t="shared" ref="D358:K359" si="199">D359</f>
        <v>1050</v>
      </c>
      <c r="E358" s="23">
        <f t="shared" si="199"/>
        <v>0</v>
      </c>
      <c r="F358" s="28">
        <f t="shared" si="199"/>
        <v>1050</v>
      </c>
      <c r="G358" s="28">
        <f t="shared" si="199"/>
        <v>0</v>
      </c>
      <c r="H358" s="28">
        <f t="shared" si="199"/>
        <v>0</v>
      </c>
      <c r="I358" s="28">
        <f t="shared" si="199"/>
        <v>0</v>
      </c>
      <c r="J358" s="28">
        <f t="shared" si="199"/>
        <v>1050</v>
      </c>
      <c r="K358" s="28">
        <f t="shared" si="199"/>
        <v>1050</v>
      </c>
    </row>
    <row r="359" spans="1:11" ht="15.75" x14ac:dyDescent="0.25">
      <c r="A359" s="44" t="s">
        <v>182</v>
      </c>
      <c r="B359" s="37" t="s">
        <v>183</v>
      </c>
      <c r="C359" s="37"/>
      <c r="D359" s="36">
        <f t="shared" si="199"/>
        <v>1050</v>
      </c>
      <c r="E359" s="36">
        <f t="shared" si="199"/>
        <v>0</v>
      </c>
      <c r="F359" s="46">
        <f t="shared" si="199"/>
        <v>1050</v>
      </c>
      <c r="G359" s="46">
        <f t="shared" si="199"/>
        <v>0</v>
      </c>
      <c r="H359" s="46">
        <f t="shared" si="199"/>
        <v>0</v>
      </c>
      <c r="I359" s="46">
        <f t="shared" si="199"/>
        <v>0</v>
      </c>
      <c r="J359" s="46">
        <f t="shared" si="199"/>
        <v>1050</v>
      </c>
      <c r="K359" s="46">
        <f t="shared" si="199"/>
        <v>1050</v>
      </c>
    </row>
    <row r="360" spans="1:11" ht="31.5" x14ac:dyDescent="0.25">
      <c r="A360" s="10" t="s">
        <v>35</v>
      </c>
      <c r="B360" s="11" t="s">
        <v>183</v>
      </c>
      <c r="C360" s="11" t="s">
        <v>36</v>
      </c>
      <c r="D360" s="4">
        <v>1050</v>
      </c>
      <c r="E360" s="4"/>
      <c r="F360" s="16">
        <f>D360+E360</f>
        <v>1050</v>
      </c>
      <c r="G360" s="16"/>
      <c r="H360" s="16"/>
      <c r="I360" s="16"/>
      <c r="J360" s="16">
        <f>F360</f>
        <v>1050</v>
      </c>
      <c r="K360" s="16">
        <v>1050</v>
      </c>
    </row>
    <row r="361" spans="1:11" ht="47.25" x14ac:dyDescent="0.25">
      <c r="A361" s="21" t="s">
        <v>185</v>
      </c>
      <c r="B361" s="22" t="s">
        <v>187</v>
      </c>
      <c r="C361" s="22"/>
      <c r="D361" s="23">
        <f t="shared" ref="D361:K361" si="200">D362</f>
        <v>250</v>
      </c>
      <c r="E361" s="23">
        <f t="shared" si="200"/>
        <v>0</v>
      </c>
      <c r="F361" s="28">
        <f t="shared" si="200"/>
        <v>250</v>
      </c>
      <c r="G361" s="28">
        <f t="shared" si="200"/>
        <v>0</v>
      </c>
      <c r="H361" s="28">
        <f t="shared" si="200"/>
        <v>0</v>
      </c>
      <c r="I361" s="28">
        <f t="shared" si="200"/>
        <v>0</v>
      </c>
      <c r="J361" s="28">
        <f t="shared" si="200"/>
        <v>250</v>
      </c>
      <c r="K361" s="28">
        <f t="shared" si="200"/>
        <v>250</v>
      </c>
    </row>
    <row r="362" spans="1:11" ht="31.5" x14ac:dyDescent="0.25">
      <c r="A362" s="44" t="s">
        <v>186</v>
      </c>
      <c r="B362" s="37" t="s">
        <v>187</v>
      </c>
      <c r="C362" s="37"/>
      <c r="D362" s="36">
        <f>D364</f>
        <v>250</v>
      </c>
      <c r="E362" s="36">
        <f>E364</f>
        <v>0</v>
      </c>
      <c r="F362" s="46">
        <f t="shared" ref="F362:K362" si="201">F363+F364</f>
        <v>250</v>
      </c>
      <c r="G362" s="46">
        <f t="shared" si="201"/>
        <v>0</v>
      </c>
      <c r="H362" s="46">
        <f t="shared" si="201"/>
        <v>0</v>
      </c>
      <c r="I362" s="46">
        <f t="shared" si="201"/>
        <v>0</v>
      </c>
      <c r="J362" s="46">
        <f t="shared" si="201"/>
        <v>250</v>
      </c>
      <c r="K362" s="46">
        <f t="shared" si="201"/>
        <v>250</v>
      </c>
    </row>
    <row r="363" spans="1:11" ht="31.5" x14ac:dyDescent="0.25">
      <c r="A363" s="10" t="s">
        <v>35</v>
      </c>
      <c r="B363" s="11" t="s">
        <v>187</v>
      </c>
      <c r="C363" s="11" t="s">
        <v>36</v>
      </c>
      <c r="D363" s="4">
        <v>250</v>
      </c>
      <c r="E363" s="4"/>
      <c r="F363" s="16"/>
      <c r="G363" s="16"/>
      <c r="H363" s="16"/>
      <c r="I363" s="16">
        <v>43</v>
      </c>
      <c r="J363" s="16">
        <f>F363+I363</f>
        <v>43</v>
      </c>
      <c r="K363" s="16">
        <v>75.900000000000006</v>
      </c>
    </row>
    <row r="364" spans="1:11" ht="15.75" x14ac:dyDescent="0.25">
      <c r="A364" s="10" t="s">
        <v>55</v>
      </c>
      <c r="B364" s="11" t="s">
        <v>187</v>
      </c>
      <c r="C364" s="11" t="s">
        <v>54</v>
      </c>
      <c r="D364" s="4">
        <v>250</v>
      </c>
      <c r="E364" s="4"/>
      <c r="F364" s="16">
        <f>D364+E364</f>
        <v>250</v>
      </c>
      <c r="G364" s="16"/>
      <c r="H364" s="16"/>
      <c r="I364" s="16">
        <v>-43</v>
      </c>
      <c r="J364" s="16">
        <f>F364+I364</f>
        <v>207</v>
      </c>
      <c r="K364" s="16">
        <v>174.1</v>
      </c>
    </row>
    <row r="365" spans="1:11" ht="15.75" x14ac:dyDescent="0.25">
      <c r="A365" s="6" t="s">
        <v>22</v>
      </c>
      <c r="B365" s="7" t="s">
        <v>234</v>
      </c>
      <c r="C365" s="7"/>
      <c r="D365" s="6">
        <f t="shared" ref="D365:J365" si="202">D366+D368+D370+D375</f>
        <v>27591</v>
      </c>
      <c r="E365" s="6">
        <f t="shared" si="202"/>
        <v>142658.17000000001</v>
      </c>
      <c r="F365" s="15">
        <f t="shared" si="202"/>
        <v>178299.67</v>
      </c>
      <c r="G365" s="15">
        <f t="shared" si="202"/>
        <v>-60364.85</v>
      </c>
      <c r="H365" s="15">
        <f t="shared" si="202"/>
        <v>-0.5</v>
      </c>
      <c r="I365" s="15">
        <f t="shared" si="202"/>
        <v>2941.6400000000003</v>
      </c>
      <c r="J365" s="15">
        <f t="shared" si="202"/>
        <v>120254.46000000002</v>
      </c>
      <c r="K365" s="15">
        <f>K366+K368+K370+K375</f>
        <v>22181.9</v>
      </c>
    </row>
    <row r="366" spans="1:11" ht="63" x14ac:dyDescent="0.25">
      <c r="A366" s="56" t="s">
        <v>233</v>
      </c>
      <c r="B366" s="55" t="s">
        <v>235</v>
      </c>
      <c r="C366" s="55"/>
      <c r="D366" s="54">
        <f t="shared" ref="D366:K366" si="203">D367</f>
        <v>181.9</v>
      </c>
      <c r="E366" s="54">
        <f t="shared" si="203"/>
        <v>0</v>
      </c>
      <c r="F366" s="69">
        <f t="shared" si="203"/>
        <v>181.9</v>
      </c>
      <c r="G366" s="69">
        <f t="shared" si="203"/>
        <v>0</v>
      </c>
      <c r="H366" s="69">
        <f t="shared" si="203"/>
        <v>0</v>
      </c>
      <c r="I366" s="69">
        <f t="shared" si="203"/>
        <v>0</v>
      </c>
      <c r="J366" s="69">
        <f t="shared" si="203"/>
        <v>181.9</v>
      </c>
      <c r="K366" s="69">
        <f t="shared" si="203"/>
        <v>181.9</v>
      </c>
    </row>
    <row r="367" spans="1:11" ht="31.5" x14ac:dyDescent="0.25">
      <c r="A367" s="57" t="s">
        <v>35</v>
      </c>
      <c r="B367" s="58" t="s">
        <v>235</v>
      </c>
      <c r="C367" s="58" t="s">
        <v>36</v>
      </c>
      <c r="D367" s="59">
        <v>181.9</v>
      </c>
      <c r="E367" s="59"/>
      <c r="F367" s="70">
        <f>D367+E367</f>
        <v>181.9</v>
      </c>
      <c r="G367" s="70"/>
      <c r="H367" s="70"/>
      <c r="I367" s="70"/>
      <c r="J367" s="70">
        <f>F367</f>
        <v>181.9</v>
      </c>
      <c r="K367" s="70">
        <v>181.9</v>
      </c>
    </row>
    <row r="368" spans="1:11" ht="55.5" customHeight="1" x14ac:dyDescent="0.25">
      <c r="A368" s="44" t="s">
        <v>23</v>
      </c>
      <c r="B368" s="37" t="s">
        <v>175</v>
      </c>
      <c r="C368" s="37"/>
      <c r="D368" s="36">
        <f t="shared" ref="D368:K368" si="204">D369</f>
        <v>5000</v>
      </c>
      <c r="E368" s="36">
        <f t="shared" si="204"/>
        <v>0</v>
      </c>
      <c r="F368" s="46">
        <f t="shared" si="204"/>
        <v>8000</v>
      </c>
      <c r="G368" s="46">
        <f t="shared" si="204"/>
        <v>0</v>
      </c>
      <c r="H368" s="46">
        <f t="shared" si="204"/>
        <v>0</v>
      </c>
      <c r="I368" s="46">
        <f t="shared" si="204"/>
        <v>7000</v>
      </c>
      <c r="J368" s="46">
        <f t="shared" si="204"/>
        <v>15000</v>
      </c>
      <c r="K368" s="46">
        <f t="shared" si="204"/>
        <v>15000</v>
      </c>
    </row>
    <row r="369" spans="1:11" ht="15.75" x14ac:dyDescent="0.25">
      <c r="A369" s="10" t="s">
        <v>55</v>
      </c>
      <c r="B369" s="11" t="s">
        <v>175</v>
      </c>
      <c r="C369" s="11" t="s">
        <v>54</v>
      </c>
      <c r="D369" s="4">
        <v>5000</v>
      </c>
      <c r="E369" s="4"/>
      <c r="F369" s="16">
        <f>D369+E369+3000</f>
        <v>8000</v>
      </c>
      <c r="G369" s="16"/>
      <c r="H369" s="16"/>
      <c r="I369" s="16">
        <v>7000</v>
      </c>
      <c r="J369" s="16">
        <f>F369+I369</f>
        <v>15000</v>
      </c>
      <c r="K369" s="16">
        <v>15000</v>
      </c>
    </row>
    <row r="370" spans="1:11" ht="15.75" x14ac:dyDescent="0.25">
      <c r="A370" s="45" t="s">
        <v>180</v>
      </c>
      <c r="B370" s="37" t="s">
        <v>324</v>
      </c>
      <c r="C370" s="37"/>
      <c r="D370" s="36">
        <f t="shared" ref="D370:J370" si="205">D371+D373</f>
        <v>6000</v>
      </c>
      <c r="E370" s="36">
        <f t="shared" si="205"/>
        <v>0</v>
      </c>
      <c r="F370" s="46">
        <f t="shared" si="205"/>
        <v>6000</v>
      </c>
      <c r="G370" s="46">
        <f t="shared" si="205"/>
        <v>0</v>
      </c>
      <c r="H370" s="46">
        <f t="shared" si="205"/>
        <v>0</v>
      </c>
      <c r="I370" s="46">
        <f t="shared" si="205"/>
        <v>1000</v>
      </c>
      <c r="J370" s="46">
        <f t="shared" si="205"/>
        <v>7000</v>
      </c>
      <c r="K370" s="46">
        <f t="shared" ref="K370" si="206">K371+K373</f>
        <v>7000</v>
      </c>
    </row>
    <row r="371" spans="1:11" ht="31.5" x14ac:dyDescent="0.25">
      <c r="A371" s="45" t="s">
        <v>18</v>
      </c>
      <c r="B371" s="37" t="s">
        <v>179</v>
      </c>
      <c r="C371" s="37"/>
      <c r="D371" s="36">
        <f t="shared" ref="D371:K371" si="207">D372</f>
        <v>5000</v>
      </c>
      <c r="E371" s="36">
        <f t="shared" si="207"/>
        <v>0</v>
      </c>
      <c r="F371" s="46">
        <f t="shared" si="207"/>
        <v>5000</v>
      </c>
      <c r="G371" s="46">
        <f t="shared" si="207"/>
        <v>0</v>
      </c>
      <c r="H371" s="46">
        <f t="shared" si="207"/>
        <v>0</v>
      </c>
      <c r="I371" s="46">
        <f t="shared" si="207"/>
        <v>1000</v>
      </c>
      <c r="J371" s="46">
        <f t="shared" si="207"/>
        <v>6000</v>
      </c>
      <c r="K371" s="46">
        <f t="shared" si="207"/>
        <v>6000</v>
      </c>
    </row>
    <row r="372" spans="1:11" ht="15.75" x14ac:dyDescent="0.25">
      <c r="A372" s="12" t="s">
        <v>55</v>
      </c>
      <c r="B372" s="11" t="s">
        <v>179</v>
      </c>
      <c r="C372" s="11" t="s">
        <v>54</v>
      </c>
      <c r="D372" s="4">
        <v>5000</v>
      </c>
      <c r="E372" s="4"/>
      <c r="F372" s="16">
        <f>D372+E372</f>
        <v>5000</v>
      </c>
      <c r="G372" s="16"/>
      <c r="H372" s="16"/>
      <c r="I372" s="16">
        <v>1000</v>
      </c>
      <c r="J372" s="16">
        <f>F372+I372</f>
        <v>6000</v>
      </c>
      <c r="K372" s="16">
        <v>6000</v>
      </c>
    </row>
    <row r="373" spans="1:11" ht="78.75" x14ac:dyDescent="0.25">
      <c r="A373" s="44" t="s">
        <v>19</v>
      </c>
      <c r="B373" s="37" t="s">
        <v>181</v>
      </c>
      <c r="C373" s="37"/>
      <c r="D373" s="36">
        <f t="shared" ref="D373:K373" si="208">D374</f>
        <v>1000</v>
      </c>
      <c r="E373" s="36">
        <f t="shared" si="208"/>
        <v>0</v>
      </c>
      <c r="F373" s="46">
        <f t="shared" si="208"/>
        <v>1000</v>
      </c>
      <c r="G373" s="46">
        <f t="shared" si="208"/>
        <v>0</v>
      </c>
      <c r="H373" s="46">
        <f t="shared" si="208"/>
        <v>0</v>
      </c>
      <c r="I373" s="46">
        <f t="shared" si="208"/>
        <v>0</v>
      </c>
      <c r="J373" s="46">
        <f t="shared" si="208"/>
        <v>1000</v>
      </c>
      <c r="K373" s="46">
        <f t="shared" si="208"/>
        <v>1000</v>
      </c>
    </row>
    <row r="374" spans="1:11" ht="15.75" x14ac:dyDescent="0.25">
      <c r="A374" s="10" t="s">
        <v>55</v>
      </c>
      <c r="B374" s="11" t="s">
        <v>181</v>
      </c>
      <c r="C374" s="11" t="s">
        <v>54</v>
      </c>
      <c r="D374" s="4">
        <v>1000</v>
      </c>
      <c r="E374" s="4"/>
      <c r="F374" s="16">
        <f>D374+E374</f>
        <v>1000</v>
      </c>
      <c r="G374" s="16"/>
      <c r="H374" s="16"/>
      <c r="I374" s="16"/>
      <c r="J374" s="16">
        <f>F374+I374</f>
        <v>1000</v>
      </c>
      <c r="K374" s="16">
        <v>1000</v>
      </c>
    </row>
    <row r="375" spans="1:11" ht="47.25" x14ac:dyDescent="0.25">
      <c r="A375" s="44" t="s">
        <v>200</v>
      </c>
      <c r="B375" s="37" t="s">
        <v>189</v>
      </c>
      <c r="C375" s="37"/>
      <c r="D375" s="36">
        <f t="shared" ref="D375:K375" si="209">D376</f>
        <v>16409.099999999999</v>
      </c>
      <c r="E375" s="36">
        <f t="shared" si="209"/>
        <v>142658.17000000001</v>
      </c>
      <c r="F375" s="46">
        <f t="shared" si="209"/>
        <v>164117.77000000002</v>
      </c>
      <c r="G375" s="46">
        <f t="shared" si="209"/>
        <v>-60364.85</v>
      </c>
      <c r="H375" s="46">
        <f t="shared" si="209"/>
        <v>-0.5</v>
      </c>
      <c r="I375" s="46">
        <f t="shared" si="209"/>
        <v>-5058.3599999999997</v>
      </c>
      <c r="J375" s="46">
        <f t="shared" si="209"/>
        <v>98072.560000000012</v>
      </c>
      <c r="K375" s="46">
        <f t="shared" si="209"/>
        <v>0</v>
      </c>
    </row>
    <row r="376" spans="1:11" ht="31.5" x14ac:dyDescent="0.25">
      <c r="A376" s="10" t="s">
        <v>188</v>
      </c>
      <c r="B376" s="11" t="s">
        <v>189</v>
      </c>
      <c r="C376" s="11" t="s">
        <v>190</v>
      </c>
      <c r="D376" s="4">
        <f>20196-3900+113.1</f>
        <v>16409.099999999999</v>
      </c>
      <c r="E376" s="4">
        <v>142658.17000000001</v>
      </c>
      <c r="F376" s="16">
        <f>D376+E376+5050.5</f>
        <v>164117.77000000002</v>
      </c>
      <c r="G376" s="16">
        <v>-60364.85</v>
      </c>
      <c r="H376" s="16">
        <v>-0.5</v>
      </c>
      <c r="I376" s="16">
        <f>-5374.16+315.8</f>
        <v>-5058.3599999999997</v>
      </c>
      <c r="J376" s="16">
        <f>F376+G376+H376+I376-621.5</f>
        <v>98072.560000000012</v>
      </c>
      <c r="K376" s="16">
        <v>0</v>
      </c>
    </row>
    <row r="377" spans="1:11" ht="15.75" x14ac:dyDescent="0.25">
      <c r="A377" s="17" t="s">
        <v>7</v>
      </c>
      <c r="B377" s="18"/>
      <c r="C377" s="18"/>
      <c r="D377" s="19" t="e">
        <f t="shared" ref="D377:K377" si="210">D365+D242+D165+D140+D79+D45+D19+D307+D328+D338+D346</f>
        <v>#REF!</v>
      </c>
      <c r="E377" s="19" t="e">
        <f t="shared" si="210"/>
        <v>#REF!</v>
      </c>
      <c r="F377" s="19" t="e">
        <f t="shared" si="210"/>
        <v>#REF!</v>
      </c>
      <c r="G377" s="19" t="e">
        <f t="shared" si="210"/>
        <v>#REF!</v>
      </c>
      <c r="H377" s="19" t="e">
        <f t="shared" si="210"/>
        <v>#REF!</v>
      </c>
      <c r="I377" s="19" t="e">
        <f t="shared" si="210"/>
        <v>#REF!</v>
      </c>
      <c r="J377" s="19">
        <f t="shared" si="210"/>
        <v>1134006.6900000002</v>
      </c>
      <c r="K377" s="19">
        <f t="shared" si="210"/>
        <v>1138362.6300000001</v>
      </c>
    </row>
  </sheetData>
  <mergeCells count="19">
    <mergeCell ref="A17:A18"/>
    <mergeCell ref="B17:B18"/>
    <mergeCell ref="C17:C18"/>
    <mergeCell ref="B4:K7"/>
    <mergeCell ref="B3:K3"/>
    <mergeCell ref="C2:K2"/>
    <mergeCell ref="C1:K1"/>
    <mergeCell ref="K17:K18"/>
    <mergeCell ref="A15:K15"/>
    <mergeCell ref="C16:D16"/>
    <mergeCell ref="H17:H18"/>
    <mergeCell ref="G17:G18"/>
    <mergeCell ref="B13:K13"/>
    <mergeCell ref="B12:K12"/>
    <mergeCell ref="A11:K11"/>
    <mergeCell ref="A10:K10"/>
    <mergeCell ref="A9:K9"/>
    <mergeCell ref="I17:I18"/>
    <mergeCell ref="J17:J18"/>
  </mergeCells>
  <phoneticPr fontId="0" type="noConversion"/>
  <pageMargins left="0.17" right="0.16" top="0.42" bottom="0.25" header="0.22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2018-12-24T15:42:17Z</cp:lastPrinted>
  <dcterms:created xsi:type="dcterms:W3CDTF">1996-10-08T23:32:33Z</dcterms:created>
  <dcterms:modified xsi:type="dcterms:W3CDTF">2018-12-24T15:42:19Z</dcterms:modified>
</cp:coreProperties>
</file>